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915" firstSheet="2" activeTab="3"/>
  </bookViews>
  <sheets>
    <sheet name="Sheet4" sheetId="1" state="hidden" r:id="rId1"/>
    <sheet name="Sheet2" sheetId="2" state="hidden" r:id="rId2"/>
    <sheet name="MG" sheetId="3" r:id="rId3"/>
    <sheet name="TH" sheetId="4" r:id="rId4"/>
    <sheet name="THCS" sheetId="5" r:id="rId5"/>
    <sheet name="THPT" sheetId="6" r:id="rId6"/>
    <sheet name="THPT GDTX" sheetId="7" r:id="rId7"/>
    <sheet name="Sheet1" sheetId="8" r:id="rId8"/>
    <sheet name="Sheet3" sheetId="9" r:id="rId9"/>
  </sheets>
  <definedNames>
    <definedName name="_xlnm.Print_Area" localSheetId="7">'Sheet1'!$A$1:$K$40</definedName>
    <definedName name="_xlnm.Print_Area" localSheetId="3">'TH'!$A$1:$AJ$40</definedName>
    <definedName name="_xlnm.Print_Area" localSheetId="4">'THCS'!$A$1:$AA$59</definedName>
  </definedNames>
  <calcPr fullCalcOnLoad="1"/>
</workbook>
</file>

<file path=xl/comments7.xml><?xml version="1.0" encoding="utf-8"?>
<comments xmlns="http://schemas.openxmlformats.org/spreadsheetml/2006/main">
  <authors>
    <author>Home</author>
  </authors>
  <commentList>
    <comment ref="G18" authorId="0">
      <text>
        <r>
          <rPr>
            <b/>
            <sz val="8"/>
            <rFont val="Tahoma"/>
            <family val="2"/>
          </rPr>
          <t>gồm cấp 3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K9 +K8
</t>
        </r>
      </text>
    </comment>
  </commentList>
</comments>
</file>

<file path=xl/sharedStrings.xml><?xml version="1.0" encoding="utf-8"?>
<sst xmlns="http://schemas.openxmlformats.org/spreadsheetml/2006/main" count="760" uniqueCount="373">
  <si>
    <t>TT</t>
  </si>
  <si>
    <t>Phòng GD&amp;ĐT</t>
  </si>
  <si>
    <t>Mẫu giáo</t>
  </si>
  <si>
    <t>Trong đó</t>
  </si>
  <si>
    <t>Tổng  số</t>
  </si>
  <si>
    <t>Công lập</t>
  </si>
  <si>
    <t>Ngoài công  lập</t>
  </si>
  <si>
    <t xml:space="preserve">Nhóm </t>
  </si>
  <si>
    <t>Cháu</t>
  </si>
  <si>
    <t>Cô</t>
  </si>
  <si>
    <t>P. học</t>
  </si>
  <si>
    <t>Tổng số</t>
  </si>
  <si>
    <t>Ninh Phước</t>
  </si>
  <si>
    <t>Thuận Nam</t>
  </si>
  <si>
    <t>Phan Rang-TC</t>
  </si>
  <si>
    <t>Ninh Sơn</t>
  </si>
  <si>
    <t>Bác Ái</t>
  </si>
  <si>
    <t>Thuận Bắc</t>
  </si>
  <si>
    <t>Ninh Hải</t>
  </si>
  <si>
    <t>Ngoài công lập</t>
  </si>
  <si>
    <t>Lớp</t>
  </si>
  <si>
    <r>
      <t xml:space="preserve">SỞ GIÁO DỤC VÀ ĐÀO TẠO
</t>
    </r>
    <r>
      <rPr>
        <b/>
        <sz val="14"/>
        <rFont val="Times New Roman"/>
        <family val="1"/>
      </rPr>
      <t>PHÒNG KẾ HOẠCH - TÀI CHÍNH</t>
    </r>
  </si>
  <si>
    <t>Mẫu giáo</t>
  </si>
  <si>
    <t>SỞ GIÁO DỤC - ĐÀO TẠO NINH THUẬN</t>
  </si>
  <si>
    <t>PHÒNG KẾ HOẠCH - TÀI CHÍNH</t>
  </si>
  <si>
    <t>Trong đó</t>
  </si>
  <si>
    <t>Giáo viên</t>
  </si>
  <si>
    <t>Tổng số CBCNV</t>
  </si>
  <si>
    <t>TỔNG SỐ</t>
  </si>
  <si>
    <t>Lớp 10</t>
  </si>
  <si>
    <t>Lớp 11</t>
  </si>
  <si>
    <t>Lớp 12</t>
  </si>
  <si>
    <t>Dân tộc ít người</t>
  </si>
  <si>
    <t>Nữ</t>
  </si>
  <si>
    <t>Tổng</t>
  </si>
  <si>
    <t>Học
 sinh</t>
  </si>
  <si>
    <t>Lớp</t>
  </si>
  <si>
    <t>Bác Ái</t>
  </si>
  <si>
    <t>Ninh Hải</t>
  </si>
  <si>
    <t>Thuận Bắc</t>
  </si>
  <si>
    <t>Ninh Phước</t>
  </si>
  <si>
    <t>PHÒNG GD&amp;ĐT</t>
  </si>
  <si>
    <t>Lớp 1</t>
  </si>
  <si>
    <t>Lớp 2</t>
  </si>
  <si>
    <t>Lớp 3</t>
  </si>
  <si>
    <t>Lớp 4</t>
  </si>
  <si>
    <t>Lớp 5</t>
  </si>
  <si>
    <t>Thuận Nam</t>
  </si>
  <si>
    <t>THỐNG KÊ TRƯỜNG, LỚP, HỌC SINH, GIÁO VIÊN THCS</t>
  </si>
  <si>
    <t>THỐNG KÊ TRƯỜNG, LỚP, HỌC SINH, GIÁO VIÊN TIỂU HỌC</t>
  </si>
  <si>
    <t>THỐNG KÊ TRƯỜNG, LỚP, HỌC SINH, GIÁO VIÊN THPT</t>
  </si>
  <si>
    <t>I</t>
  </si>
  <si>
    <t>II</t>
  </si>
  <si>
    <t>DTNT Pi Năng Tắc</t>
  </si>
  <si>
    <t>DTNT Thuận Bắc</t>
  </si>
  <si>
    <t>DTNT Ninh Sơn</t>
  </si>
  <si>
    <t>Lớp 6</t>
  </si>
  <si>
    <t>Lớp 7</t>
  </si>
  <si>
    <t>Lớp 8</t>
  </si>
  <si>
    <t>Lớp 9</t>
  </si>
  <si>
    <t>PHÒNG GD&amp;ĐT
(Trường trực thuộc)</t>
  </si>
  <si>
    <t>Mầm non</t>
  </si>
  <si>
    <t>Tổng cộng</t>
  </si>
  <si>
    <t>KT.GIÁM ĐỐC</t>
  </si>
  <si>
    <t>P.GIÁM ĐỐC</t>
  </si>
  <si>
    <t>Dân tộc
 ít người</t>
  </si>
  <si>
    <t>Nội dung</t>
  </si>
  <si>
    <t>Tỷ lệ
(%)</t>
  </si>
  <si>
    <t>1. Tổng số học sinh có mặt đầu năm học</t>
  </si>
  <si>
    <t>1.1/ Giáo dục mầm non</t>
  </si>
  <si>
    <t>1.2/ Giáo dục phổ thông</t>
  </si>
  <si>
    <r>
      <t>Trong đó:</t>
    </r>
    <r>
      <rPr>
        <sz val="12"/>
        <rFont val="Times New Roman"/>
        <family val="1"/>
      </rPr>
      <t xml:space="preserve"> DTNT Tỉnh</t>
    </r>
  </si>
  <si>
    <t>Lê Bá Phương</t>
  </si>
  <si>
    <t>Người lập</t>
  </si>
  <si>
    <t>Nguyễn Thái Quang</t>
  </si>
  <si>
    <t>CL</t>
  </si>
  <si>
    <t xml:space="preserve">II. So sánh trường/ lớp </t>
  </si>
  <si>
    <t>Giáo dục mầm non</t>
  </si>
  <si>
    <t>Giáo dục phổ thông</t>
  </si>
  <si>
    <t>Tiểu học</t>
  </si>
  <si>
    <t>THCS</t>
  </si>
  <si>
    <t>THPT</t>
  </si>
  <si>
    <t>Tỷ lệ 
tăng/giảm</t>
  </si>
  <si>
    <t>Cấp học</t>
  </si>
  <si>
    <t>Trường</t>
  </si>
  <si>
    <t>HS</t>
  </si>
  <si>
    <t>Giáo dục thường xuyên</t>
  </si>
  <si>
    <t>GV</t>
  </si>
  <si>
    <t>GV/Lớp</t>
  </si>
  <si>
    <t>HS/Lớp</t>
  </si>
  <si>
    <t>Nhà trẻ</t>
  </si>
  <si>
    <t>Phòng</t>
  </si>
  <si>
    <t>Nữ GV</t>
  </si>
  <si>
    <t>TL Nữ
 GV</t>
  </si>
  <si>
    <t>TÊN TRƯỜNG</t>
  </si>
  <si>
    <t>THPT Chu Văn An</t>
  </si>
  <si>
    <t>THPT iSCHOOL</t>
  </si>
  <si>
    <t>THPT Phan Chu Trinh</t>
  </si>
  <si>
    <t>PHÒNG GD ĐT</t>
  </si>
  <si>
    <t>NCL</t>
  </si>
  <si>
    <t>DÂN TỘC BÁN TRÚ</t>
  </si>
  <si>
    <t>Dân tộc bán trú</t>
  </si>
  <si>
    <t>A</t>
  </si>
  <si>
    <t>B</t>
  </si>
  <si>
    <t>C</t>
  </si>
  <si>
    <t>x</t>
  </si>
  <si>
    <t>Cộng</t>
  </si>
  <si>
    <t xml:space="preserve">Tổng số 
trường chuẩn </t>
  </si>
  <si>
    <t>Tổng số 
Trg chuẩn QG</t>
  </si>
  <si>
    <t>Có</t>
  </si>
  <si>
    <t>QĐ</t>
  </si>
  <si>
    <t>A. Công lập</t>
  </si>
  <si>
    <t>B. Tư thục</t>
  </si>
  <si>
    <t>Nữ</t>
  </si>
  <si>
    <t>Tổng</t>
  </si>
  <si>
    <t>Dân tộc ít người</t>
  </si>
  <si>
    <t>CBQL</t>
  </si>
  <si>
    <t>Cơ sở vật chất</t>
  </si>
  <si>
    <t>Nhà
đa năng</t>
  </si>
  <si>
    <t>Pg
bộ môn</t>
  </si>
  <si>
    <t>Pg
học</t>
  </si>
  <si>
    <t>Thư
Viện</t>
  </si>
  <si>
    <t>TỔNG CỘNG (A+B)</t>
  </si>
  <si>
    <t>Số trường</t>
  </si>
  <si>
    <t>Nguyễn Văn Trỗi (BA)</t>
  </si>
  <si>
    <t>Nguyễn Văn Linh (BA)</t>
  </si>
  <si>
    <t>Đinh Bộ Lĩnh (BA)</t>
  </si>
  <si>
    <t>Nguyễn Huệ (BA)</t>
  </si>
  <si>
    <t>Phước Hà (TN)</t>
  </si>
  <si>
    <t>Phan Đình Phùng (NS)</t>
  </si>
  <si>
    <t>HS
Nữ</t>
  </si>
  <si>
    <t>Đạt chuẩn</t>
  </si>
  <si>
    <t>Trên chuẩn</t>
  </si>
  <si>
    <t>Nhu cầu CSVC (KCH)</t>
  </si>
  <si>
    <t>Công tác HN - DN</t>
  </si>
  <si>
    <t>SL</t>
  </si>
  <si>
    <t>TL</t>
  </si>
  <si>
    <t>Chưa chuẩn</t>
  </si>
  <si>
    <t>2b/ngày</t>
  </si>
  <si>
    <t>GV
T.chuẩn</t>
  </si>
  <si>
    <t>Học 
2b/ngày</t>
  </si>
  <si>
    <t>C.Ch</t>
  </si>
  <si>
    <t>5 tuổi</t>
  </si>
  <si>
    <t>Giáo viên</t>
  </si>
  <si>
    <t>Huy động học sinh</t>
  </si>
  <si>
    <t>Nhu cầu
Cơ sở vật chất</t>
  </si>
  <si>
    <t>Cấp 2</t>
  </si>
  <si>
    <t>Cấp 3</t>
  </si>
  <si>
    <t>HN</t>
  </si>
  <si>
    <t>DN</t>
  </si>
  <si>
    <t>THỐNG KÊ TRƯỜNG, LỚP, HỌC SINH, GIÁO VIÊN THPT GDTX, CĐ, ĐH</t>
  </si>
  <si>
    <t>Chú ý</t>
  </si>
  <si>
    <t xml:space="preserve">  DTNT Pi Năng Tắc</t>
  </si>
  <si>
    <t>Dân tộc 
ít người</t>
  </si>
  <si>
    <t>Lê Lợi (BA)</t>
  </si>
  <si>
    <t>DTNT THCS Ninh Phước</t>
  </si>
  <si>
    <t>P.Bình B (BA)</t>
  </si>
  <si>
    <t>P.Thành B (BA)</t>
  </si>
  <si>
    <t>5T</t>
  </si>
  <si>
    <t>3-4T</t>
  </si>
  <si>
    <t>MHP</t>
  </si>
  <si>
    <t>GHP</t>
  </si>
  <si>
    <t>Hỗ trợ ăn trưa</t>
  </si>
  <si>
    <t>Chế độ chính sách</t>
  </si>
  <si>
    <t>H.trợ
HT</t>
  </si>
  <si>
    <t>XMC</t>
  </si>
  <si>
    <t>Giáo dục thường xuyên (THPT)</t>
  </si>
  <si>
    <t>1.3/ GDTX (THPT)</t>
  </si>
  <si>
    <t>P.Đại A (BA)</t>
  </si>
  <si>
    <t>Tiêu chí</t>
  </si>
  <si>
    <t>Mầm non</t>
  </si>
  <si>
    <t>1.Trường</t>
  </si>
  <si>
    <t xml:space="preserve"> Tư thục</t>
  </si>
  <si>
    <t>2.Lớp</t>
  </si>
  <si>
    <t xml:space="preserve"> Ngoài công lập</t>
  </si>
  <si>
    <t>3.Học sinh</t>
  </si>
  <si>
    <t>4.Giáo viên</t>
  </si>
  <si>
    <t>5.Phòng học</t>
  </si>
  <si>
    <t>6.Trường đạt chuẩn QG</t>
  </si>
  <si>
    <t>7. Hs học 2 buổi/ngày</t>
  </si>
  <si>
    <t>8.Trường/lớp/HS bán trú</t>
  </si>
  <si>
    <t>9.Trường/lớp/Hs DTNT</t>
  </si>
  <si>
    <t>PHÓ GIÁM ĐỐC</t>
  </si>
  <si>
    <t>Trường chuẩn</t>
  </si>
  <si>
    <t>Nhà
ĐN</t>
  </si>
  <si>
    <t>Trẻ khuyết tật học HN</t>
  </si>
  <si>
    <t>Khuyết tật 
học H.nhập</t>
  </si>
  <si>
    <t>HS k.tật hòa nhập</t>
  </si>
  <si>
    <t>+ Nhà trẻ</t>
  </si>
  <si>
    <t>+ Mẫu giáo</t>
  </si>
  <si>
    <t>+ Tiểu học</t>
  </si>
  <si>
    <t>+ Trung học cơ sở</t>
  </si>
  <si>
    <t>+ Trung học phổ thông</t>
  </si>
  <si>
    <t>NV</t>
  </si>
  <si>
    <t>MN</t>
  </si>
  <si>
    <t>TH</t>
  </si>
  <si>
    <t>4. Số xã đạt chuẩn NTM</t>
  </si>
  <si>
    <t>KH</t>
  </si>
  <si>
    <t>Ghi chú</t>
  </si>
  <si>
    <t>PR-TC</t>
  </si>
  <si>
    <t xml:space="preserve">                 - PT THCS DTNT Ninh Phước</t>
  </si>
  <si>
    <t xml:space="preserve">                 - PT DTNT Thuận Bắc</t>
  </si>
  <si>
    <t xml:space="preserve">                 - PT DTNT Pi Năng Tắc</t>
  </si>
  <si>
    <r>
      <t>Trong đó:</t>
    </r>
    <r>
      <rPr>
        <sz val="12"/>
        <rFont val="Times New Roman"/>
        <family val="1"/>
      </rPr>
      <t xml:space="preserve">  - PT DTNT Ninh Sơn</t>
    </r>
  </si>
  <si>
    <t>Nội dung</t>
  </si>
  <si>
    <t>BẢNG TỔNG HỢP 
TRƯỜNG, LỚP, HỌC SINH, GIÁO VIÊN, CSVC</t>
  </si>
  <si>
    <t>Trường
/điểm trường</t>
  </si>
  <si>
    <t>HS DT ít người PT</t>
  </si>
  <si>
    <t>HS nữ PT</t>
  </si>
  <si>
    <t>QL</t>
  </si>
  <si>
    <t>3. Huyện, xã đạt chuẩn PCMN 5 tuổi</t>
  </si>
  <si>
    <t>7/65</t>
  </si>
  <si>
    <t>1/2</t>
  </si>
  <si>
    <t>THPT An Phước</t>
  </si>
  <si>
    <t>THPT Lê Duẩn</t>
  </si>
  <si>
    <t>THPT Nguyễn Du</t>
  </si>
  <si>
    <t>THPT Nguyễn Huệ</t>
  </si>
  <si>
    <t>THPT Nguyễn Trãi</t>
  </si>
  <si>
    <t>THPT Ninh Hải</t>
  </si>
  <si>
    <t>THPT Phan Bội Châu</t>
  </si>
  <si>
    <t>THPT Phạm Văn Đồng</t>
  </si>
  <si>
    <t>THPT Tháp Chàm</t>
  </si>
  <si>
    <t>THPT Trường Chinh</t>
  </si>
  <si>
    <t>THPT Tôn Đức Thắng</t>
  </si>
  <si>
    <t>THPT chuyên Lê Quý Đôn</t>
  </si>
  <si>
    <t>PTDTNT THPT Pi Năng Tắc</t>
  </si>
  <si>
    <t>THPT DTNT tỉnh</t>
  </si>
  <si>
    <t>Điểm trường lẻ</t>
  </si>
  <si>
    <t>HS Dân tộc PT</t>
  </si>
  <si>
    <t>HS Phổ thông</t>
  </si>
  <si>
    <t>HS Nữ</t>
  </si>
  <si>
    <t>Khối sự nghiệp</t>
  </si>
  <si>
    <t>GDTX</t>
  </si>
  <si>
    <t>Học phí</t>
  </si>
  <si>
    <t>TCCB</t>
  </si>
  <si>
    <t>TrH</t>
  </si>
  <si>
    <t>DT</t>
  </si>
  <si>
    <t>VP</t>
  </si>
  <si>
    <t>LD</t>
  </si>
  <si>
    <t>CĐ</t>
  </si>
  <si>
    <t>BQL</t>
  </si>
  <si>
    <t>Se</t>
  </si>
  <si>
    <t>T.N</t>
  </si>
  <si>
    <t>KHTC</t>
  </si>
  <si>
    <t>Ischool</t>
  </si>
  <si>
    <t>Hoa Sen</t>
  </si>
  <si>
    <t>7/64</t>
  </si>
  <si>
    <t xml:space="preserve">  Tư thục iSCHOOL + Hoa Sen</t>
  </si>
  <si>
    <t>TH,THCS,THPT Hoa Sen</t>
  </si>
  <si>
    <t>HS khuyết tật</t>
  </si>
  <si>
    <t>TT GDNN-GDTX Thuận Bắc</t>
  </si>
  <si>
    <t>TT GDNN-GDTX Ninh Phước</t>
  </si>
  <si>
    <t>TT GDNN-GDTX Ninh Sơn</t>
  </si>
  <si>
    <t>3/</t>
  </si>
  <si>
    <t>8/</t>
  </si>
  <si>
    <t>2/</t>
  </si>
  <si>
    <t>PT</t>
  </si>
  <si>
    <t>Giáo dục Mầm non, Phổ thông và GDTX</t>
  </si>
  <si>
    <t>CĐSP</t>
  </si>
  <si>
    <t>TTHTPTGDHN</t>
  </si>
  <si>
    <t>THCS, THPT Bác Ái</t>
  </si>
  <si>
    <t>Khảo thí</t>
  </si>
  <si>
    <t>5</t>
  </si>
  <si>
    <t>21/47</t>
  </si>
  <si>
    <t>THCS, THPT Nguyễn Văn Linh</t>
  </si>
  <si>
    <t>PR</t>
  </si>
  <si>
    <t>BA</t>
  </si>
  <si>
    <t>TN</t>
  </si>
  <si>
    <t>TT GDTX-HN</t>
  </si>
  <si>
    <t>THCS,THPT Đặng Chí Thanh</t>
  </si>
  <si>
    <t>Liên cấp</t>
  </si>
  <si>
    <t>LIÊN CẤP TH,THCS</t>
  </si>
  <si>
    <t>LIÊN CẤP THCS,THPT</t>
  </si>
  <si>
    <t>Liên cấp Hoa Sen</t>
  </si>
  <si>
    <t>Liên cấp ISCHOOL</t>
  </si>
  <si>
    <t>III</t>
  </si>
  <si>
    <t>NT</t>
  </si>
  <si>
    <t>MG</t>
  </si>
  <si>
    <t>3 cấp</t>
  </si>
  <si>
    <t xml:space="preserve">Tổng </t>
  </si>
  <si>
    <t>cộng</t>
  </si>
  <si>
    <t>1. Trường</t>
  </si>
  <si>
    <t>/</t>
  </si>
  <si>
    <t>2. Lớp</t>
  </si>
  <si>
    <t>3. Học sinh</t>
  </si>
  <si>
    <t>4. Giáo viên</t>
  </si>
  <si>
    <t>5. Phòng học</t>
  </si>
  <si>
    <t xml:space="preserve">6. Trường đạt chuẩn QG </t>
  </si>
  <si>
    <t>7. Trường/lớp/HSBán trú</t>
  </si>
  <si>
    <t>8. Trường/lớp/HS Nội trú</t>
  </si>
  <si>
    <t>THCS,THPT</t>
  </si>
  <si>
    <t>TH,THCS</t>
  </si>
  <si>
    <t>Dân tộc</t>
  </si>
  <si>
    <t>TTHT</t>
  </si>
  <si>
    <t>TT GDTX</t>
  </si>
  <si>
    <t>MN+PT</t>
  </si>
  <si>
    <t>%</t>
  </si>
  <si>
    <t xml:space="preserve">Trung tâm GDTX: Số học viên sinh viên hiện có 692/16 lớp (ĐH VLVH: 582, TC: 68, Ngắn hạn: 42); dự kiến 20-21: 660 HV,SV (ĐH VLVH 350, TC 230, Ngắn hạn 80); 
HS GDTX 1,264/26 lớp; Tổng số CBCNV: 51 (BC 41, HĐ 10); HĐ thỉnh giảng 52 gv, 4 GV cơ hữu; GV NPT-HN 23 GV (cơ hữu) </t>
  </si>
  <si>
    <t>Đầu năm học 2020-2021</t>
  </si>
  <si>
    <t>1/1</t>
  </si>
  <si>
    <t xml:space="preserve"> - </t>
  </si>
  <si>
    <t>Phòng/Lớp</t>
  </si>
  <si>
    <t>Tr chuẩn QG</t>
  </si>
  <si>
    <t>Lê Đình Chinh</t>
  </si>
  <si>
    <t>Nguyễn Bỉnh Khiêm</t>
  </si>
  <si>
    <t>Hoàng Hoa Thám</t>
  </si>
  <si>
    <t>Ngô Quyền (BA)</t>
  </si>
  <si>
    <t>Võ Thị Sáu (BA)</t>
  </si>
  <si>
    <t>Hà Huy Tập</t>
  </si>
  <si>
    <t>Phước Kháng</t>
  </si>
  <si>
    <t>Ngô Quyền (NH)</t>
  </si>
  <si>
    <t>Mai Thúc Loan</t>
  </si>
  <si>
    <t xml:space="preserve">Khuyết tật học </t>
  </si>
  <si>
    <t>Võ Thị Sáu</t>
  </si>
  <si>
    <t xml:space="preserve"> Ngô Quyền (NH)</t>
  </si>
  <si>
    <t xml:space="preserve"> Ngô Quyền (BA)</t>
  </si>
  <si>
    <t>Nguyễn Văn Linh</t>
  </si>
  <si>
    <t>Đặng Chí Thanh</t>
  </si>
  <si>
    <t>Ninh Thuận, ngày 16 tháng 9 năm 2020</t>
  </si>
  <si>
    <t>Tổng số hs</t>
  </si>
  <si>
    <t>Bỏ học</t>
  </si>
  <si>
    <t>Lưu ban</t>
  </si>
  <si>
    <t>Nghỉ hưu</t>
  </si>
  <si>
    <t>Tuyển mới</t>
  </si>
  <si>
    <t>13/4</t>
  </si>
  <si>
    <t>Thuyển mới</t>
  </si>
  <si>
    <t>T.số CBCNV</t>
  </si>
  <si>
    <t>Trần Hưng Đạo</t>
  </si>
  <si>
    <t>THCS,THPT Trần Hưng Đạo</t>
  </si>
  <si>
    <t xml:space="preserve"> NĂM HỌC 2021-2022</t>
  </si>
  <si>
    <t>(Tháng 9/2021)</t>
  </si>
  <si>
    <r>
      <t>THỐNG KÊ TRƯỜNG, LỚP, HỌC SINH, GIÁO VIÊN MẦM NON
ĐẦU NĂM HỌC 2021-2022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Thời điểm: Tháng 9-2021</t>
    </r>
  </si>
  <si>
    <t>Phước Vinh</t>
  </si>
  <si>
    <t>TỔNG SỐ (I+II+III)</t>
  </si>
  <si>
    <t>THEO DÕI</t>
  </si>
  <si>
    <r>
      <t>Thời điểm: đầu năm 2021-2022 (</t>
    </r>
    <r>
      <rPr>
        <i/>
        <sz val="12"/>
        <rFont val="Times New Roman"/>
        <family val="1"/>
      </rPr>
      <t>Tháng 9/2021</t>
    </r>
    <r>
      <rPr>
        <sz val="12"/>
        <rFont val="Times New Roman"/>
        <family val="1"/>
      </rPr>
      <t>)</t>
    </r>
  </si>
  <si>
    <t>Kế hoạch
2021</t>
  </si>
  <si>
    <t>Thực hiện
2021</t>
  </si>
  <si>
    <t>Đầu năm học 2021-2022</t>
  </si>
  <si>
    <t>I. Thực hiện chỉ tiêu kế hoạch năm 2021</t>
  </si>
  <si>
    <t>Võ Văn Kiệt</t>
  </si>
  <si>
    <t>9/6</t>
  </si>
  <si>
    <t>3/4</t>
  </si>
  <si>
    <t>11/6</t>
  </si>
  <si>
    <t>Ninh Thuận, ngày 16  tháng 9 năm 2021</t>
  </si>
  <si>
    <t>III. Các chỉ số của năm học 2021-2022</t>
  </si>
  <si>
    <t>Thực hiện đến tháng 9/2021</t>
  </si>
  <si>
    <r>
      <t>Thời điểm: t</t>
    </r>
    <r>
      <rPr>
        <i/>
        <sz val="12"/>
        <rFont val="Times New Roman"/>
        <family val="1"/>
      </rPr>
      <t>háng 9/2021</t>
    </r>
  </si>
  <si>
    <t>LC THCS,THPT DTNT</t>
  </si>
  <si>
    <t>11/90/2.343</t>
  </si>
  <si>
    <t>6/23/765</t>
  </si>
  <si>
    <t>Pg phục vụ HT</t>
  </si>
  <si>
    <t>0/1</t>
  </si>
  <si>
    <t>0/2</t>
  </si>
  <si>
    <t>2 buổi/ngày</t>
  </si>
  <si>
    <t>1 buổi/ngày</t>
  </si>
  <si>
    <t xml:space="preserve">1. Trường ĐCQG </t>
  </si>
  <si>
    <t>TT GDTX-HN và TT HTPTGDHN</t>
  </si>
  <si>
    <t xml:space="preserve"> </t>
  </si>
  <si>
    <t>Pg PV HT</t>
  </si>
  <si>
    <t>Pg khác</t>
  </si>
  <si>
    <t>Người lập</t>
  </si>
  <si>
    <t>Nguyễn Thái Quang</t>
  </si>
  <si>
    <t>Trường DTNT</t>
  </si>
  <si>
    <t>TT HTPT GDHN: 73 hs/6 lớp, nữ 17, dân tộc 03 nữ/12 hs; Khuyết tật trí tuệ (11 hs/1L), Khiếm thính (11 hs/1 L), Can thiệp sớm &amp; PT kỹ năng cơ bản (40 hs/3 lớp); CBCNV: 15 (Ql 1, GV 9, NV 5).</t>
  </si>
  <si>
    <t>P HÓ GIÁM ĐỐC</t>
  </si>
  <si>
    <t>13/9</t>
  </si>
  <si>
    <t>18/11</t>
  </si>
  <si>
    <t>31/11</t>
  </si>
  <si>
    <t>21/9</t>
  </si>
  <si>
    <t>28/7</t>
  </si>
  <si>
    <t>9/11</t>
  </si>
  <si>
    <t>133/63</t>
  </si>
</sst>
</file>

<file path=xl/styles.xml><?xml version="1.0" encoding="utf-8"?>
<styleSheet xmlns="http://schemas.openxmlformats.org/spreadsheetml/2006/main">
  <numFmts count="5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(* #,##0.0_);_(* \(#,##0.0\);_(* &quot;-&quot;??_);_(@_)"/>
    <numFmt numFmtId="197" formatCode="_(* #,##0_);_(* \(#,##0\);_(* &quot;-&quot;??_);_(@_)"/>
    <numFmt numFmtId="198" formatCode="0.0%"/>
    <numFmt numFmtId="199" formatCode="[$-40C]dddd\ d\ mmmm\ yyyy"/>
    <numFmt numFmtId="200" formatCode="_(* #,##0.0_);_(* \(#,##0.0\);_(* &quot;-&quot;_);_(@_)"/>
    <numFmt numFmtId="201" formatCode="_(* #,##0.00_);_(* \(#,##0.00\);_(* &quot;-&quot;_);_(@_)"/>
    <numFmt numFmtId="202" formatCode="#,##0\ _$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  <numFmt numFmtId="208" formatCode="_(* #,##0.0_);_(* \(#,##0.0\);_(* &quot;-&quot;?_);_(@_)"/>
    <numFmt numFmtId="209" formatCode="_(* #,##0_);_(* \(#,##0\);_(* &quot;-&quot;?_);_(@_)"/>
    <numFmt numFmtId="210" formatCode="0_ ;\-0\ "/>
    <numFmt numFmtId="211" formatCode="_(* #,##0.000_);_(* \(#,##0.000\);_(* &quot;-&quot;??_);_(@_)"/>
    <numFmt numFmtId="212" formatCode="_(* #,##0.0000_);_(* \(#,##0.0000\);_(* &quot;-&quot;??_);_(@_)"/>
  </numFmts>
  <fonts count="97">
    <font>
      <sz val="14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b/>
      <i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u val="singleAccounting"/>
      <sz val="10"/>
      <name val="Times New Roman"/>
      <family val="1"/>
    </font>
    <font>
      <sz val="9"/>
      <name val="Calibri"/>
      <family val="2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14"/>
      <name val="Times New Roman"/>
      <family val="1"/>
    </font>
    <font>
      <b/>
      <i/>
      <sz val="11"/>
      <color indexed="12"/>
      <name val="Times New Roman"/>
      <family val="1"/>
    </font>
    <font>
      <b/>
      <sz val="13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9"/>
      <name val="Times New Roman"/>
      <family val="1"/>
    </font>
    <font>
      <b/>
      <u val="single"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33CC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28" borderId="2" applyNumberFormat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 quotePrefix="1">
      <alignment/>
    </xf>
    <xf numFmtId="197" fontId="11" fillId="0" borderId="10" xfId="41" applyNumberFormat="1" applyFont="1" applyBorder="1" applyAlignment="1">
      <alignment/>
    </xf>
    <xf numFmtId="0" fontId="7" fillId="0" borderId="10" xfId="0" applyFont="1" applyBorder="1" applyAlignment="1">
      <alignment/>
    </xf>
    <xf numFmtId="197" fontId="16" fillId="0" borderId="10" xfId="41" applyNumberFormat="1" applyFont="1" applyBorder="1" applyAlignment="1">
      <alignment/>
    </xf>
    <xf numFmtId="197" fontId="10" fillId="0" borderId="10" xfId="0" applyNumberFormat="1" applyFont="1" applyBorder="1" applyAlignment="1">
      <alignment/>
    </xf>
    <xf numFmtId="197" fontId="16" fillId="0" borderId="10" xfId="41" applyNumberFormat="1" applyFont="1" applyFill="1" applyBorder="1" applyAlignment="1">
      <alignment/>
    </xf>
    <xf numFmtId="198" fontId="7" fillId="0" borderId="10" xfId="61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Border="1" applyAlignment="1">
      <alignment/>
    </xf>
    <xf numFmtId="197" fontId="16" fillId="0" borderId="0" xfId="41" applyNumberFormat="1" applyFont="1" applyFill="1" applyBorder="1" applyAlignment="1">
      <alignment/>
    </xf>
    <xf numFmtId="197" fontId="16" fillId="0" borderId="0" xfId="41" applyNumberFormat="1" applyFont="1" applyBorder="1" applyAlignment="1">
      <alignment/>
    </xf>
    <xf numFmtId="9" fontId="7" fillId="0" borderId="0" xfId="6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indent="2"/>
    </xf>
    <xf numFmtId="197" fontId="10" fillId="0" borderId="10" xfId="41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69" fontId="11" fillId="0" borderId="10" xfId="42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9" fontId="8" fillId="0" borderId="10" xfId="42" applyFont="1" applyBorder="1" applyAlignment="1">
      <alignment/>
    </xf>
    <xf numFmtId="169" fontId="2" fillId="0" borderId="10" xfId="42" applyFont="1" applyBorder="1" applyAlignment="1">
      <alignment/>
    </xf>
    <xf numFmtId="169" fontId="11" fillId="0" borderId="10" xfId="42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198" fontId="18" fillId="0" borderId="13" xfId="61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98" fontId="18" fillId="0" borderId="21" xfId="61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9" fontId="17" fillId="0" borderId="26" xfId="42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198" fontId="8" fillId="0" borderId="10" xfId="61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indent="4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198" fontId="2" fillId="0" borderId="21" xfId="61" applyNumberFormat="1" applyFont="1" applyBorder="1" applyAlignment="1">
      <alignment/>
    </xf>
    <xf numFmtId="1" fontId="17" fillId="0" borderId="10" xfId="4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left" indent="2"/>
    </xf>
    <xf numFmtId="169" fontId="1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169" fontId="24" fillId="0" borderId="10" xfId="42" applyFont="1" applyBorder="1" applyAlignment="1">
      <alignment horizontal="right"/>
    </xf>
    <xf numFmtId="169" fontId="0" fillId="0" borderId="10" xfId="42" applyFont="1" applyBorder="1" applyAlignment="1">
      <alignment/>
    </xf>
    <xf numFmtId="169" fontId="2" fillId="0" borderId="0" xfId="42" applyFont="1" applyBorder="1" applyAlignment="1">
      <alignment/>
    </xf>
    <xf numFmtId="169" fontId="2" fillId="0" borderId="0" xfId="42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98" fontId="2" fillId="0" borderId="0" xfId="61" applyNumberFormat="1" applyFont="1" applyBorder="1" applyAlignment="1">
      <alignment/>
    </xf>
    <xf numFmtId="0" fontId="8" fillId="0" borderId="29" xfId="0" applyFont="1" applyBorder="1" applyAlignment="1">
      <alignment/>
    </xf>
    <xf numFmtId="0" fontId="2" fillId="0" borderId="26" xfId="0" applyFont="1" applyBorder="1" applyAlignment="1">
      <alignment horizontal="center"/>
    </xf>
    <xf numFmtId="197" fontId="28" fillId="0" borderId="10" xfId="41" applyNumberFormat="1" applyFont="1" applyFill="1" applyBorder="1" applyAlignment="1">
      <alignment horizontal="center" vertical="center"/>
    </xf>
    <xf numFmtId="197" fontId="28" fillId="0" borderId="30" xfId="41" applyNumberFormat="1" applyFont="1" applyFill="1" applyBorder="1" applyAlignment="1">
      <alignment horizontal="center" vertical="center"/>
    </xf>
    <xf numFmtId="9" fontId="28" fillId="0" borderId="10" xfId="6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69" fontId="16" fillId="0" borderId="10" xfId="42" applyFont="1" applyFill="1" applyBorder="1" applyAlignment="1">
      <alignment horizontal="center"/>
    </xf>
    <xf numFmtId="169" fontId="16" fillId="0" borderId="10" xfId="42" applyFont="1" applyBorder="1" applyAlignment="1">
      <alignment horizontal="center"/>
    </xf>
    <xf numFmtId="1" fontId="16" fillId="0" borderId="10" xfId="42" applyNumberFormat="1" applyFont="1" applyBorder="1" applyAlignment="1">
      <alignment/>
    </xf>
    <xf numFmtId="197" fontId="28" fillId="0" borderId="10" xfId="41" applyNumberFormat="1" applyFont="1" applyFill="1" applyBorder="1" applyAlignment="1">
      <alignment/>
    </xf>
    <xf numFmtId="197" fontId="28" fillId="0" borderId="10" xfId="41" applyNumberFormat="1" applyFont="1" applyBorder="1" applyAlignment="1">
      <alignment/>
    </xf>
    <xf numFmtId="1" fontId="28" fillId="0" borderId="10" xfId="41" applyNumberFormat="1" applyFont="1" applyBorder="1" applyAlignment="1">
      <alignment/>
    </xf>
    <xf numFmtId="1" fontId="28" fillId="0" borderId="10" xfId="61" applyNumberFormat="1" applyFont="1" applyBorder="1" applyAlignment="1">
      <alignment/>
    </xf>
    <xf numFmtId="1" fontId="16" fillId="0" borderId="10" xfId="41" applyNumberFormat="1" applyFont="1" applyBorder="1" applyAlignment="1">
      <alignment/>
    </xf>
    <xf numFmtId="1" fontId="16" fillId="0" borderId="10" xfId="61" applyNumberFormat="1" applyFont="1" applyBorder="1" applyAlignment="1">
      <alignment/>
    </xf>
    <xf numFmtId="169" fontId="16" fillId="0" borderId="10" xfId="42" applyFont="1" applyBorder="1" applyAlignment="1">
      <alignment/>
    </xf>
    <xf numFmtId="171" fontId="16" fillId="0" borderId="10" xfId="41" applyNumberFormat="1" applyFont="1" applyFill="1" applyBorder="1" applyAlignment="1">
      <alignment/>
    </xf>
    <xf numFmtId="201" fontId="16" fillId="0" borderId="10" xfId="42" applyNumberFormat="1" applyFont="1" applyBorder="1" applyAlignment="1">
      <alignment/>
    </xf>
    <xf numFmtId="9" fontId="16" fillId="0" borderId="10" xfId="61" applyFont="1" applyBorder="1" applyAlignment="1">
      <alignment/>
    </xf>
    <xf numFmtId="169" fontId="28" fillId="0" borderId="10" xfId="42" applyFont="1" applyBorder="1" applyAlignment="1">
      <alignment/>
    </xf>
    <xf numFmtId="171" fontId="28" fillId="0" borderId="10" xfId="41" applyNumberFormat="1" applyFont="1" applyFill="1" applyBorder="1" applyAlignment="1">
      <alignment/>
    </xf>
    <xf numFmtId="200" fontId="28" fillId="0" borderId="10" xfId="42" applyNumberFormat="1" applyFont="1" applyFill="1" applyBorder="1" applyAlignment="1">
      <alignment/>
    </xf>
    <xf numFmtId="9" fontId="28" fillId="0" borderId="10" xfId="61" applyFont="1" applyBorder="1" applyAlignment="1">
      <alignment/>
    </xf>
    <xf numFmtId="201" fontId="28" fillId="0" borderId="10" xfId="42" applyNumberFormat="1" applyFont="1" applyBorder="1" applyAlignment="1">
      <alignment/>
    </xf>
    <xf numFmtId="200" fontId="16" fillId="0" borderId="10" xfId="42" applyNumberFormat="1" applyFont="1" applyFill="1" applyBorder="1" applyAlignment="1">
      <alignment/>
    </xf>
    <xf numFmtId="169" fontId="28" fillId="0" borderId="10" xfId="42" applyFont="1" applyFill="1" applyBorder="1" applyAlignment="1">
      <alignment/>
    </xf>
    <xf numFmtId="169" fontId="28" fillId="0" borderId="10" xfId="42" applyNumberFormat="1" applyFont="1" applyFill="1" applyBorder="1" applyAlignment="1">
      <alignment/>
    </xf>
    <xf numFmtId="201" fontId="16" fillId="0" borderId="10" xfId="42" applyNumberFormat="1" applyFont="1" applyFill="1" applyBorder="1" applyAlignment="1">
      <alignment/>
    </xf>
    <xf numFmtId="169" fontId="8" fillId="0" borderId="10" xfId="42" applyFont="1" applyBorder="1" applyAlignment="1">
      <alignment vertical="center" wrapText="1"/>
    </xf>
    <xf numFmtId="1" fontId="8" fillId="0" borderId="10" xfId="42" applyNumberFormat="1" applyFont="1" applyBorder="1" applyAlignment="1">
      <alignment horizontal="center"/>
    </xf>
    <xf numFmtId="9" fontId="3" fillId="0" borderId="30" xfId="61" applyNumberFormat="1" applyFont="1" applyBorder="1" applyAlignment="1">
      <alignment/>
    </xf>
    <xf numFmtId="198" fontId="3" fillId="0" borderId="30" xfId="61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169" fontId="2" fillId="0" borderId="13" xfId="42" applyFont="1" applyBorder="1" applyAlignment="1">
      <alignment/>
    </xf>
    <xf numFmtId="169" fontId="2" fillId="0" borderId="21" xfId="42" applyFont="1" applyBorder="1" applyAlignment="1">
      <alignment/>
    </xf>
    <xf numFmtId="169" fontId="0" fillId="0" borderId="0" xfId="0" applyNumberForma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169" fontId="23" fillId="0" borderId="10" xfId="0" applyNumberFormat="1" applyFont="1" applyBorder="1" applyAlignment="1">
      <alignment horizontal="right"/>
    </xf>
    <xf numFmtId="198" fontId="0" fillId="0" borderId="0" xfId="61" applyNumberFormat="1" applyFont="1" applyAlignment="1">
      <alignment/>
    </xf>
    <xf numFmtId="9" fontId="8" fillId="0" borderId="10" xfId="61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197" fontId="10" fillId="0" borderId="10" xfId="0" applyNumberFormat="1" applyFont="1" applyBorder="1" applyAlignment="1">
      <alignment/>
    </xf>
    <xf numFmtId="198" fontId="30" fillId="0" borderId="10" xfId="61" applyNumberFormat="1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3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98" fontId="3" fillId="0" borderId="11" xfId="61" applyNumberFormat="1" applyFont="1" applyFill="1" applyBorder="1" applyAlignment="1">
      <alignment/>
    </xf>
    <xf numFmtId="198" fontId="8" fillId="0" borderId="33" xfId="61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98" fontId="8" fillId="0" borderId="34" xfId="61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98" fontId="8" fillId="0" borderId="0" xfId="61" applyNumberFormat="1" applyFont="1" applyBorder="1" applyAlignment="1">
      <alignment/>
    </xf>
    <xf numFmtId="1" fontId="2" fillId="0" borderId="10" xfId="42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 quotePrefix="1">
      <alignment horizontal="center" vertical="center"/>
    </xf>
    <xf numFmtId="0" fontId="4" fillId="0" borderId="35" xfId="0" applyFont="1" applyBorder="1" applyAlignment="1">
      <alignment horizontal="center"/>
    </xf>
    <xf numFmtId="169" fontId="16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98" fontId="8" fillId="0" borderId="10" xfId="61" applyNumberFormat="1" applyFont="1" applyFill="1" applyBorder="1" applyAlignment="1">
      <alignment/>
    </xf>
    <xf numFmtId="1" fontId="17" fillId="0" borderId="10" xfId="4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31" fillId="0" borderId="10" xfId="0" applyNumberFormat="1" applyFont="1" applyBorder="1" applyAlignment="1">
      <alignment vertical="center"/>
    </xf>
    <xf numFmtId="169" fontId="31" fillId="0" borderId="10" xfId="42" applyFont="1" applyFill="1" applyBorder="1" applyAlignment="1">
      <alignment horizontal="center"/>
    </xf>
    <xf numFmtId="169" fontId="31" fillId="0" borderId="10" xfId="42" applyFont="1" applyBorder="1" applyAlignment="1">
      <alignment horizontal="center"/>
    </xf>
    <xf numFmtId="197" fontId="32" fillId="0" borderId="10" xfId="41" applyNumberFormat="1" applyFont="1" applyFill="1" applyBorder="1" applyAlignment="1">
      <alignment/>
    </xf>
    <xf numFmtId="197" fontId="32" fillId="0" borderId="10" xfId="41" applyNumberFormat="1" applyFont="1" applyBorder="1" applyAlignment="1">
      <alignment/>
    </xf>
    <xf numFmtId="197" fontId="31" fillId="0" borderId="10" xfId="41" applyNumberFormat="1" applyFont="1" applyFill="1" applyBorder="1" applyAlignment="1">
      <alignment/>
    </xf>
    <xf numFmtId="197" fontId="31" fillId="0" borderId="10" xfId="41" applyNumberFormat="1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34" borderId="0" xfId="0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198" fontId="3" fillId="0" borderId="31" xfId="61" applyNumberFormat="1" applyFont="1" applyBorder="1" applyAlignment="1">
      <alignment/>
    </xf>
    <xf numFmtId="198" fontId="8" fillId="0" borderId="38" xfId="61" applyNumberFormat="1" applyFont="1" applyBorder="1" applyAlignment="1">
      <alignment/>
    </xf>
    <xf numFmtId="9" fontId="8" fillId="0" borderId="37" xfId="61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98" fontId="8" fillId="0" borderId="33" xfId="61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98" fontId="18" fillId="0" borderId="0" xfId="61" applyNumberFormat="1" applyFont="1" applyBorder="1" applyAlignment="1">
      <alignment/>
    </xf>
    <xf numFmtId="169" fontId="8" fillId="34" borderId="10" xfId="42" applyFont="1" applyFill="1" applyBorder="1" applyAlignment="1">
      <alignment/>
    </xf>
    <xf numFmtId="198" fontId="17" fillId="0" borderId="0" xfId="61" applyNumberFormat="1" applyFont="1" applyBorder="1" applyAlignment="1">
      <alignment/>
    </xf>
    <xf numFmtId="197" fontId="16" fillId="0" borderId="10" xfId="41" applyNumberFormat="1" applyFont="1" applyBorder="1" applyAlignment="1">
      <alignment/>
    </xf>
    <xf numFmtId="197" fontId="31" fillId="0" borderId="10" xfId="41" applyNumberFormat="1" applyFont="1" applyFill="1" applyBorder="1" applyAlignment="1">
      <alignment/>
    </xf>
    <xf numFmtId="197" fontId="31" fillId="0" borderId="10" xfId="41" applyNumberFormat="1" applyFont="1" applyBorder="1" applyAlignment="1">
      <alignment/>
    </xf>
    <xf numFmtId="169" fontId="31" fillId="0" borderId="10" xfId="42" applyFont="1" applyFill="1" applyBorder="1" applyAlignment="1">
      <alignment/>
    </xf>
    <xf numFmtId="198" fontId="33" fillId="0" borderId="10" xfId="61" applyNumberFormat="1" applyFont="1" applyBorder="1" applyAlignment="1">
      <alignment horizontal="center"/>
    </xf>
    <xf numFmtId="9" fontId="23" fillId="0" borderId="10" xfId="61" applyFont="1" applyBorder="1" applyAlignment="1">
      <alignment horizontal="center"/>
    </xf>
    <xf numFmtId="198" fontId="37" fillId="0" borderId="10" xfId="61" applyNumberFormat="1" applyFont="1" applyBorder="1" applyAlignment="1">
      <alignment horizontal="center"/>
    </xf>
    <xf numFmtId="198" fontId="27" fillId="0" borderId="10" xfId="61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8" fillId="34" borderId="39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center" vertical="center"/>
    </xf>
    <xf numFmtId="169" fontId="29" fillId="34" borderId="10" xfId="42" applyFont="1" applyFill="1" applyBorder="1" applyAlignment="1">
      <alignment horizontal="right"/>
    </xf>
    <xf numFmtId="0" fontId="8" fillId="34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69" fontId="29" fillId="0" borderId="10" xfId="42" applyFont="1" applyBorder="1" applyAlignment="1">
      <alignment horizontal="right"/>
    </xf>
    <xf numFmtId="0" fontId="8" fillId="34" borderId="1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9" fontId="29" fillId="0" borderId="10" xfId="42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9" fontId="29" fillId="0" borderId="16" xfId="42" applyFont="1" applyBorder="1" applyAlignment="1">
      <alignment horizontal="right"/>
    </xf>
    <xf numFmtId="0" fontId="8" fillId="0" borderId="16" xfId="0" applyFont="1" applyBorder="1" applyAlignment="1">
      <alignment vertical="center"/>
    </xf>
    <xf numFmtId="9" fontId="8" fillId="0" borderId="30" xfId="61" applyNumberFormat="1" applyFont="1" applyBorder="1" applyAlignment="1">
      <alignment/>
    </xf>
    <xf numFmtId="9" fontId="8" fillId="0" borderId="37" xfId="61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198" fontId="8" fillId="0" borderId="33" xfId="61" applyNumberFormat="1" applyFont="1" applyFill="1" applyBorder="1" applyAlignment="1">
      <alignment horizontal="right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right"/>
    </xf>
    <xf numFmtId="169" fontId="2" fillId="33" borderId="10" xfId="42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69" fontId="8" fillId="0" borderId="0" xfId="0" applyNumberFormat="1" applyFont="1" applyAlignment="1">
      <alignment/>
    </xf>
    <xf numFmtId="0" fontId="39" fillId="0" borderId="0" xfId="0" applyFont="1" applyFill="1" applyBorder="1" applyAlignment="1">
      <alignment/>
    </xf>
    <xf numFmtId="198" fontId="3" fillId="0" borderId="0" xfId="61" applyNumberFormat="1" applyFont="1" applyBorder="1" applyAlignment="1">
      <alignment/>
    </xf>
    <xf numFmtId="1" fontId="2" fillId="0" borderId="10" xfId="42" applyNumberFormat="1" applyFont="1" applyBorder="1" applyAlignment="1" quotePrefix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9" fontId="3" fillId="0" borderId="10" xfId="61" applyNumberFormat="1" applyFont="1" applyBorder="1" applyAlignment="1">
      <alignment horizontal="center" vertical="center" wrapText="1"/>
    </xf>
    <xf numFmtId="198" fontId="3" fillId="0" borderId="10" xfId="61" applyNumberFormat="1" applyFont="1" applyBorder="1" applyAlignment="1">
      <alignment horizontal="center" vertical="center" wrapText="1"/>
    </xf>
    <xf numFmtId="198" fontId="3" fillId="0" borderId="10" xfId="61" applyNumberFormat="1" applyFont="1" applyFill="1" applyBorder="1" applyAlignment="1">
      <alignment horizontal="center" vertical="center" wrapText="1"/>
    </xf>
    <xf numFmtId="198" fontId="36" fillId="0" borderId="10" xfId="61" applyNumberFormat="1" applyFont="1" applyFill="1" applyBorder="1" applyAlignment="1">
      <alignment horizontal="center" vertical="center" wrapText="1"/>
    </xf>
    <xf numFmtId="9" fontId="36" fillId="0" borderId="10" xfId="61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9" fontId="3" fillId="0" borderId="30" xfId="61" applyNumberFormat="1" applyFont="1" applyBorder="1" applyAlignment="1">
      <alignment/>
    </xf>
    <xf numFmtId="198" fontId="3" fillId="0" borderId="30" xfId="61" applyNumberFormat="1" applyFont="1" applyBorder="1" applyAlignment="1">
      <alignment/>
    </xf>
    <xf numFmtId="198" fontId="3" fillId="0" borderId="11" xfId="61" applyNumberFormat="1" applyFont="1" applyBorder="1" applyAlignment="1">
      <alignment/>
    </xf>
    <xf numFmtId="0" fontId="36" fillId="0" borderId="10" xfId="0" applyFont="1" applyBorder="1" applyAlignment="1">
      <alignment vertical="center"/>
    </xf>
    <xf numFmtId="198" fontId="3" fillId="0" borderId="11" xfId="61" applyNumberFormat="1" applyFont="1" applyFill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11" fillId="0" borderId="29" xfId="0" applyFont="1" applyBorder="1" applyAlignment="1">
      <alignment/>
    </xf>
    <xf numFmtId="0" fontId="11" fillId="0" borderId="3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0" fontId="87" fillId="0" borderId="10" xfId="0" applyFont="1" applyBorder="1" applyAlignment="1">
      <alignment/>
    </xf>
    <xf numFmtId="0" fontId="87" fillId="0" borderId="0" xfId="0" applyFont="1" applyAlignment="1">
      <alignment/>
    </xf>
    <xf numFmtId="197" fontId="23" fillId="0" borderId="10" xfId="41" applyNumberFormat="1" applyFont="1" applyBorder="1" applyAlignment="1">
      <alignment horizontal="right"/>
    </xf>
    <xf numFmtId="197" fontId="23" fillId="0" borderId="10" xfId="41" applyNumberFormat="1" applyFont="1" applyBorder="1" applyAlignment="1">
      <alignment horizontal="center"/>
    </xf>
    <xf numFmtId="197" fontId="23" fillId="0" borderId="10" xfId="41" applyNumberFormat="1" applyFont="1" applyBorder="1" applyAlignment="1">
      <alignment horizontal="right" wrapText="1"/>
    </xf>
    <xf numFmtId="197" fontId="40" fillId="0" borderId="10" xfId="41" applyNumberFormat="1" applyFont="1" applyBorder="1" applyAlignment="1">
      <alignment horizontal="right" wrapText="1"/>
    </xf>
    <xf numFmtId="197" fontId="0" fillId="0" borderId="0" xfId="0" applyNumberFormat="1" applyAlignment="1">
      <alignment/>
    </xf>
    <xf numFmtId="197" fontId="0" fillId="0" borderId="10" xfId="0" applyNumberFormat="1" applyBorder="1" applyAlignment="1">
      <alignment/>
    </xf>
    <xf numFmtId="196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1" fontId="17" fillId="0" borderId="10" xfId="41" applyNumberFormat="1" applyFont="1" applyBorder="1" applyAlignment="1">
      <alignment vertical="center" wrapText="1"/>
    </xf>
    <xf numFmtId="198" fontId="29" fillId="0" borderId="10" xfId="61" applyNumberFormat="1" applyFont="1" applyBorder="1" applyAlignment="1">
      <alignment/>
    </xf>
    <xf numFmtId="197" fontId="17" fillId="0" borderId="10" xfId="41" applyNumberFormat="1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97" fontId="2" fillId="36" borderId="10" xfId="41" applyNumberFormat="1" applyFont="1" applyFill="1" applyBorder="1" applyAlignment="1">
      <alignment vertical="center" wrapText="1"/>
    </xf>
    <xf numFmtId="197" fontId="34" fillId="36" borderId="10" xfId="41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88" fillId="0" borderId="10" xfId="0" applyFont="1" applyBorder="1" applyAlignment="1" quotePrefix="1">
      <alignment horizontal="center" vertical="center"/>
    </xf>
    <xf numFmtId="0" fontId="88" fillId="0" borderId="10" xfId="0" applyFont="1" applyBorder="1" applyAlignment="1" quotePrefix="1">
      <alignment horizontal="center"/>
    </xf>
    <xf numFmtId="0" fontId="8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169" fontId="8" fillId="36" borderId="10" xfId="42" applyFont="1" applyFill="1" applyBorder="1" applyAlignment="1">
      <alignment vertical="center" wrapText="1"/>
    </xf>
    <xf numFmtId="169" fontId="8" fillId="36" borderId="10" xfId="42" applyFont="1" applyFill="1" applyBorder="1" applyAlignment="1">
      <alignment/>
    </xf>
    <xf numFmtId="197" fontId="89" fillId="0" borderId="10" xfId="0" applyNumberFormat="1" applyFont="1" applyBorder="1" applyAlignment="1">
      <alignment/>
    </xf>
    <xf numFmtId="169" fontId="89" fillId="0" borderId="10" xfId="42" applyFont="1" applyBorder="1" applyAlignment="1">
      <alignment/>
    </xf>
    <xf numFmtId="197" fontId="88" fillId="0" borderId="10" xfId="0" applyNumberFormat="1" applyFont="1" applyBorder="1" applyAlignment="1">
      <alignment/>
    </xf>
    <xf numFmtId="169" fontId="88" fillId="0" borderId="10" xfId="42" applyFont="1" applyBorder="1" applyAlignment="1">
      <alignment/>
    </xf>
    <xf numFmtId="0" fontId="88" fillId="0" borderId="10" xfId="0" applyFont="1" applyBorder="1" applyAlignment="1">
      <alignment/>
    </xf>
    <xf numFmtId="0" fontId="90" fillId="0" borderId="0" xfId="0" applyFont="1" applyAlignment="1">
      <alignment/>
    </xf>
    <xf numFmtId="169" fontId="90" fillId="0" borderId="0" xfId="0" applyNumberFormat="1" applyFont="1" applyAlignment="1">
      <alignment/>
    </xf>
    <xf numFmtId="1" fontId="25" fillId="0" borderId="10" xfId="0" applyNumberFormat="1" applyFont="1" applyBorder="1" applyAlignment="1">
      <alignment horizontal="right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/>
    </xf>
    <xf numFmtId="169" fontId="91" fillId="0" borderId="10" xfId="43" applyFont="1" applyBorder="1" applyAlignment="1" quotePrefix="1">
      <alignment horizontal="center"/>
    </xf>
    <xf numFmtId="169" fontId="91" fillId="0" borderId="10" xfId="42" applyFont="1" applyBorder="1" applyAlignment="1">
      <alignment/>
    </xf>
    <xf numFmtId="197" fontId="91" fillId="0" borderId="10" xfId="41" applyNumberFormat="1" applyFont="1" applyBorder="1" applyAlignment="1">
      <alignment vertical="center" wrapText="1"/>
    </xf>
    <xf numFmtId="169" fontId="91" fillId="0" borderId="10" xfId="42" applyFont="1" applyFill="1" applyBorder="1" applyAlignment="1">
      <alignment horizontal="center"/>
    </xf>
    <xf numFmtId="169" fontId="91" fillId="0" borderId="10" xfId="43" applyFont="1" applyBorder="1" applyAlignment="1">
      <alignment/>
    </xf>
    <xf numFmtId="169" fontId="91" fillId="0" borderId="10" xfId="42" applyFont="1" applyFill="1" applyBorder="1" applyAlignment="1">
      <alignment/>
    </xf>
    <xf numFmtId="0" fontId="91" fillId="0" borderId="0" xfId="0" applyFont="1" applyAlignment="1">
      <alignment/>
    </xf>
    <xf numFmtId="0" fontId="91" fillId="34" borderId="10" xfId="0" applyFont="1" applyFill="1" applyBorder="1" applyAlignment="1">
      <alignment horizontal="center"/>
    </xf>
    <xf numFmtId="169" fontId="91" fillId="34" borderId="10" xfId="43" applyFont="1" applyFill="1" applyBorder="1" applyAlignment="1" quotePrefix="1">
      <alignment horizontal="center"/>
    </xf>
    <xf numFmtId="169" fontId="91" fillId="0" borderId="10" xfId="42" applyFont="1" applyBorder="1" applyAlignment="1" quotePrefix="1">
      <alignment horizontal="center"/>
    </xf>
    <xf numFmtId="0" fontId="92" fillId="0" borderId="10" xfId="0" applyFont="1" applyBorder="1" applyAlignment="1">
      <alignment horizontal="center"/>
    </xf>
    <xf numFmtId="0" fontId="92" fillId="0" borderId="10" xfId="0" applyFont="1" applyBorder="1" applyAlignment="1">
      <alignment/>
    </xf>
    <xf numFmtId="169" fontId="92" fillId="0" borderId="10" xfId="42" applyFont="1" applyBorder="1" applyAlignment="1">
      <alignment/>
    </xf>
    <xf numFmtId="169" fontId="91" fillId="0" borderId="10" xfId="0" applyNumberFormat="1" applyFont="1" applyBorder="1" applyAlignment="1">
      <alignment/>
    </xf>
    <xf numFmtId="0" fontId="91" fillId="0" borderId="10" xfId="0" applyFont="1" applyBorder="1" applyAlignment="1">
      <alignment horizontal="right"/>
    </xf>
    <xf numFmtId="16" fontId="92" fillId="0" borderId="10" xfId="0" applyNumberFormat="1" applyFont="1" applyBorder="1" applyAlignment="1" quotePrefix="1">
      <alignment horizontal="center"/>
    </xf>
    <xf numFmtId="169" fontId="92" fillId="0" borderId="10" xfId="0" applyNumberFormat="1" applyFont="1" applyBorder="1" applyAlignment="1">
      <alignment/>
    </xf>
    <xf numFmtId="16" fontId="91" fillId="0" borderId="10" xfId="0" applyNumberFormat="1" applyFont="1" applyBorder="1" applyAlignment="1" quotePrefix="1">
      <alignment horizontal="center"/>
    </xf>
    <xf numFmtId="0" fontId="91" fillId="0" borderId="10" xfId="0" applyFont="1" applyBorder="1" applyAlignment="1" quotePrefix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13" fontId="17" fillId="36" borderId="10" xfId="0" applyNumberFormat="1" applyFont="1" applyFill="1" applyBorder="1" applyAlignment="1" quotePrefix="1">
      <alignment horizontal="center" vertical="center" wrapText="1"/>
    </xf>
    <xf numFmtId="197" fontId="44" fillId="36" borderId="10" xfId="41" applyNumberFormat="1" applyFont="1" applyFill="1" applyBorder="1" applyAlignment="1">
      <alignment vertical="center" wrapText="1"/>
    </xf>
    <xf numFmtId="197" fontId="17" fillId="36" borderId="10" xfId="41" applyNumberFormat="1" applyFont="1" applyFill="1" applyBorder="1" applyAlignment="1">
      <alignment vertical="center" wrapText="1"/>
    </xf>
    <xf numFmtId="169" fontId="17" fillId="36" borderId="10" xfId="0" applyNumberFormat="1" applyFont="1" applyFill="1" applyBorder="1" applyAlignment="1">
      <alignment vertical="center" wrapText="1"/>
    </xf>
    <xf numFmtId="0" fontId="93" fillId="36" borderId="10" xfId="0" applyFont="1" applyFill="1" applyBorder="1" applyAlignment="1">
      <alignment horizontal="center"/>
    </xf>
    <xf numFmtId="197" fontId="17" fillId="36" borderId="10" xfId="4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1" fontId="8" fillId="34" borderId="10" xfId="42" applyNumberFormat="1" applyFont="1" applyFill="1" applyBorder="1" applyAlignment="1">
      <alignment horizontal="center"/>
    </xf>
    <xf numFmtId="169" fontId="8" fillId="34" borderId="10" xfId="42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1" fontId="1" fillId="0" borderId="10" xfId="42" applyNumberFormat="1" applyFont="1" applyBorder="1" applyAlignment="1">
      <alignment horizontal="center"/>
    </xf>
    <xf numFmtId="169" fontId="1" fillId="0" borderId="10" xfId="42" applyFont="1" applyBorder="1" applyAlignment="1">
      <alignment vertical="center" wrapText="1"/>
    </xf>
    <xf numFmtId="169" fontId="1" fillId="0" borderId="10" xfId="42" applyFont="1" applyBorder="1" applyAlignment="1">
      <alignment/>
    </xf>
    <xf numFmtId="1" fontId="1" fillId="0" borderId="10" xfId="43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9" fontId="8" fillId="37" borderId="10" xfId="42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169" fontId="8" fillId="37" borderId="10" xfId="43" applyFont="1" applyFill="1" applyBorder="1" applyAlignment="1">
      <alignment/>
    </xf>
    <xf numFmtId="0" fontId="8" fillId="37" borderId="10" xfId="0" applyFont="1" applyFill="1" applyBorder="1" applyAlignment="1">
      <alignment/>
    </xf>
    <xf numFmtId="1" fontId="8" fillId="0" borderId="10" xfId="43" applyNumberFormat="1" applyFont="1" applyBorder="1" applyAlignment="1">
      <alignment horizontal="center"/>
    </xf>
    <xf numFmtId="197" fontId="45" fillId="36" borderId="10" xfId="41" applyNumberFormat="1" applyFont="1" applyFill="1" applyBorder="1" applyAlignment="1">
      <alignment vertical="center" wrapText="1"/>
    </xf>
    <xf numFmtId="197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94" fillId="34" borderId="10" xfId="0" applyFont="1" applyFill="1" applyBorder="1" applyAlignment="1">
      <alignment horizontal="center"/>
    </xf>
    <xf numFmtId="0" fontId="94" fillId="34" borderId="10" xfId="0" applyFont="1" applyFill="1" applyBorder="1" applyAlignment="1">
      <alignment/>
    </xf>
    <xf numFmtId="169" fontId="94" fillId="0" borderId="10" xfId="42" applyFont="1" applyBorder="1" applyAlignment="1">
      <alignment/>
    </xf>
    <xf numFmtId="169" fontId="94" fillId="34" borderId="10" xfId="42" applyFont="1" applyFill="1" applyBorder="1" applyAlignment="1">
      <alignment/>
    </xf>
    <xf numFmtId="169" fontId="94" fillId="0" borderId="10" xfId="42" applyFont="1" applyFill="1" applyBorder="1" applyAlignment="1">
      <alignment/>
    </xf>
    <xf numFmtId="0" fontId="94" fillId="34" borderId="0" xfId="0" applyFont="1" applyFill="1" applyAlignment="1">
      <alignment/>
    </xf>
    <xf numFmtId="0" fontId="94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169" fontId="94" fillId="0" borderId="10" xfId="43" applyFont="1" applyBorder="1" applyAlignment="1">
      <alignment/>
    </xf>
    <xf numFmtId="0" fontId="94" fillId="0" borderId="0" xfId="0" applyFont="1" applyAlignment="1">
      <alignment/>
    </xf>
    <xf numFmtId="169" fontId="94" fillId="34" borderId="10" xfId="43" applyFont="1" applyFill="1" applyBorder="1" applyAlignment="1" quotePrefix="1">
      <alignment horizontal="center"/>
    </xf>
    <xf numFmtId="169" fontId="94" fillId="0" borderId="10" xfId="43" applyFont="1" applyBorder="1" applyAlignment="1" quotePrefix="1">
      <alignment horizontal="center"/>
    </xf>
    <xf numFmtId="169" fontId="94" fillId="34" borderId="10" xfId="42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/>
    </xf>
    <xf numFmtId="169" fontId="94" fillId="0" borderId="10" xfId="43" applyFont="1" applyFill="1" applyBorder="1" applyAlignment="1" quotePrefix="1">
      <alignment horizontal="center"/>
    </xf>
    <xf numFmtId="169" fontId="94" fillId="0" borderId="10" xfId="42" applyFont="1" applyFill="1" applyBorder="1" applyAlignment="1">
      <alignment horizontal="center"/>
    </xf>
    <xf numFmtId="0" fontId="94" fillId="0" borderId="0" xfId="0" applyFont="1" applyFill="1" applyAlignment="1">
      <alignment/>
    </xf>
    <xf numFmtId="169" fontId="94" fillId="37" borderId="10" xfId="42" applyFont="1" applyFill="1" applyBorder="1" applyAlignment="1">
      <alignment/>
    </xf>
    <xf numFmtId="169" fontId="94" fillId="37" borderId="10" xfId="42" applyFont="1" applyFill="1" applyBorder="1" applyAlignment="1">
      <alignment horizontal="center"/>
    </xf>
    <xf numFmtId="169" fontId="94" fillId="37" borderId="10" xfId="43" applyFont="1" applyFill="1" applyBorder="1" applyAlignment="1">
      <alignment/>
    </xf>
    <xf numFmtId="0" fontId="94" fillId="37" borderId="10" xfId="0" applyFont="1" applyFill="1" applyBorder="1" applyAlignment="1">
      <alignment/>
    </xf>
    <xf numFmtId="0" fontId="94" fillId="37" borderId="10" xfId="0" applyFont="1" applyFill="1" applyBorder="1" applyAlignment="1">
      <alignment horizontal="center"/>
    </xf>
    <xf numFmtId="13" fontId="94" fillId="0" borderId="10" xfId="43" applyNumberFormat="1" applyFont="1" applyBorder="1" applyAlignment="1" quotePrefix="1">
      <alignment horizontal="center"/>
    </xf>
    <xf numFmtId="169" fontId="8" fillId="0" borderId="10" xfId="43" applyFont="1" applyBorder="1" applyAlignment="1">
      <alignment/>
    </xf>
    <xf numFmtId="169" fontId="8" fillId="0" borderId="10" xfId="43" applyFont="1" applyBorder="1" applyAlignment="1">
      <alignment horizontal="center" vertical="center" wrapText="1"/>
    </xf>
    <xf numFmtId="169" fontId="8" fillId="0" borderId="10" xfId="42" applyFont="1" applyFill="1" applyBorder="1" applyAlignment="1">
      <alignment/>
    </xf>
    <xf numFmtId="0" fontId="8" fillId="34" borderId="0" xfId="0" applyFont="1" applyFill="1" applyAlignment="1">
      <alignment/>
    </xf>
    <xf numFmtId="1" fontId="8" fillId="0" borderId="10" xfId="42" applyNumberFormat="1" applyFont="1" applyFill="1" applyBorder="1" applyAlignment="1">
      <alignment horizontal="center"/>
    </xf>
    <xf numFmtId="169" fontId="8" fillId="0" borderId="10" xfId="42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6" fontId="8" fillId="0" borderId="10" xfId="0" applyNumberFormat="1" applyFont="1" applyBorder="1" applyAlignment="1" quotePrefix="1">
      <alignment horizontal="center"/>
    </xf>
    <xf numFmtId="1" fontId="8" fillId="37" borderId="10" xfId="43" applyNumberFormat="1" applyFont="1" applyFill="1" applyBorder="1" applyAlignment="1">
      <alignment horizontal="center"/>
    </xf>
    <xf numFmtId="1" fontId="8" fillId="0" borderId="10" xfId="44" applyNumberFormat="1" applyFont="1" applyBorder="1" applyAlignment="1">
      <alignment horizontal="center"/>
    </xf>
    <xf numFmtId="197" fontId="8" fillId="0" borderId="10" xfId="41" applyNumberFormat="1" applyFont="1" applyBorder="1" applyAlignment="1">
      <alignment vertical="center" wrapText="1"/>
    </xf>
    <xf numFmtId="0" fontId="91" fillId="0" borderId="0" xfId="0" applyFont="1" applyBorder="1" applyAlignment="1">
      <alignment horizontal="center"/>
    </xf>
    <xf numFmtId="0" fontId="91" fillId="0" borderId="0" xfId="0" applyFont="1" applyBorder="1" applyAlignment="1">
      <alignment/>
    </xf>
    <xf numFmtId="0" fontId="91" fillId="0" borderId="0" xfId="0" applyFont="1" applyBorder="1" applyAlignment="1" quotePrefix="1">
      <alignment horizontal="center"/>
    </xf>
    <xf numFmtId="169" fontId="91" fillId="0" borderId="0" xfId="42" applyFont="1" applyBorder="1" applyAlignment="1">
      <alignment/>
    </xf>
    <xf numFmtId="0" fontId="91" fillId="0" borderId="0" xfId="0" applyFont="1" applyBorder="1" applyAlignment="1">
      <alignment horizontal="right"/>
    </xf>
    <xf numFmtId="0" fontId="95" fillId="0" borderId="10" xfId="0" applyFont="1" applyBorder="1" applyAlignment="1">
      <alignment horizontal="left" vertical="center"/>
    </xf>
    <xf numFmtId="0" fontId="95" fillId="0" borderId="10" xfId="0" applyFont="1" applyBorder="1" applyAlignment="1">
      <alignment horizontal="center" vertical="center"/>
    </xf>
    <xf numFmtId="17" fontId="95" fillId="0" borderId="10" xfId="0" applyNumberFormat="1" applyFont="1" applyBorder="1" applyAlignment="1" quotePrefix="1">
      <alignment horizontal="center" vertical="center"/>
    </xf>
    <xf numFmtId="0" fontId="96" fillId="0" borderId="1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textRotation="180" wrapText="1"/>
    </xf>
    <xf numFmtId="0" fontId="8" fillId="0" borderId="44" xfId="0" applyFont="1" applyBorder="1" applyAlignment="1">
      <alignment horizontal="center" vertical="center" textRotation="180"/>
    </xf>
    <xf numFmtId="0" fontId="8" fillId="0" borderId="45" xfId="0" applyFont="1" applyBorder="1" applyAlignment="1">
      <alignment horizontal="center" vertical="center" textRotation="180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180" wrapText="1"/>
    </xf>
    <xf numFmtId="0" fontId="2" fillId="0" borderId="51" xfId="0" applyFont="1" applyBorder="1" applyAlignment="1">
      <alignment horizontal="center" vertical="center" textRotation="180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180" wrapText="1"/>
    </xf>
    <xf numFmtId="0" fontId="2" fillId="0" borderId="43" xfId="0" applyFont="1" applyBorder="1" applyAlignment="1">
      <alignment horizontal="center" vertical="center" textRotation="180"/>
    </xf>
    <xf numFmtId="0" fontId="2" fillId="0" borderId="30" xfId="0" applyFont="1" applyBorder="1" applyAlignment="1">
      <alignment horizontal="center" vertical="center" textRotation="180"/>
    </xf>
    <xf numFmtId="0" fontId="8" fillId="0" borderId="5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180" wrapText="1"/>
    </xf>
    <xf numFmtId="0" fontId="8" fillId="0" borderId="43" xfId="0" applyFont="1" applyBorder="1" applyAlignment="1">
      <alignment horizontal="center" vertical="center" textRotation="180" wrapText="1"/>
    </xf>
    <xf numFmtId="0" fontId="8" fillId="0" borderId="30" xfId="0" applyFont="1" applyBorder="1" applyAlignment="1">
      <alignment horizontal="center" vertical="center" textRotation="180" wrapText="1"/>
    </xf>
    <xf numFmtId="0" fontId="8" fillId="0" borderId="14" xfId="0" applyFont="1" applyBorder="1" applyAlignment="1">
      <alignment horizontal="center" vertical="center" textRotation="180"/>
    </xf>
    <xf numFmtId="0" fontId="8" fillId="0" borderId="43" xfId="0" applyFont="1" applyBorder="1" applyAlignment="1">
      <alignment horizontal="center" vertical="center" textRotation="180"/>
    </xf>
    <xf numFmtId="0" fontId="8" fillId="0" borderId="30" xfId="0" applyFont="1" applyBorder="1" applyAlignment="1">
      <alignment horizontal="center" vertical="center" textRotation="180"/>
    </xf>
    <xf numFmtId="0" fontId="8" fillId="0" borderId="5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180" wrapText="1"/>
    </xf>
    <xf numFmtId="0" fontId="29" fillId="0" borderId="43" xfId="0" applyFont="1" applyBorder="1" applyAlignment="1">
      <alignment horizontal="center" vertical="center" textRotation="180" wrapText="1"/>
    </xf>
    <xf numFmtId="0" fontId="29" fillId="0" borderId="30" xfId="0" applyFont="1" applyBorder="1" applyAlignment="1">
      <alignment horizontal="center" vertical="center" textRotation="180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vertical="center" textRotation="180" wrapText="1"/>
    </xf>
    <xf numFmtId="0" fontId="8" fillId="0" borderId="43" xfId="0" applyFont="1" applyBorder="1" applyAlignment="1">
      <alignment vertical="center" textRotation="180" wrapText="1"/>
    </xf>
    <xf numFmtId="0" fontId="8" fillId="0" borderId="30" xfId="0" applyFont="1" applyBorder="1" applyAlignment="1">
      <alignment vertical="center" textRotation="180" wrapText="1"/>
    </xf>
    <xf numFmtId="0" fontId="8" fillId="0" borderId="5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180" wrapText="1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/>
    </xf>
    <xf numFmtId="0" fontId="8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169" fontId="2" fillId="33" borderId="10" xfId="42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center" indent="2"/>
    </xf>
    <xf numFmtId="0" fontId="11" fillId="0" borderId="33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9" fontId="27" fillId="0" borderId="10" xfId="6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97" fontId="16" fillId="0" borderId="29" xfId="41" applyNumberFormat="1" applyFont="1" applyFill="1" applyBorder="1" applyAlignment="1">
      <alignment horizontal="center" vertical="center"/>
    </xf>
    <xf numFmtId="197" fontId="16" fillId="0" borderId="32" xfId="41" applyNumberFormat="1" applyFont="1" applyFill="1" applyBorder="1" applyAlignment="1">
      <alignment horizontal="center" vertical="center"/>
    </xf>
    <xf numFmtId="197" fontId="16" fillId="0" borderId="33" xfId="41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3</xdr:row>
      <xdr:rowOff>66675</xdr:rowOff>
    </xdr:from>
    <xdr:to>
      <xdr:col>23</xdr:col>
      <xdr:colOff>409575</xdr:colOff>
      <xdr:row>3</xdr:row>
      <xdr:rowOff>66675</xdr:rowOff>
    </xdr:to>
    <xdr:sp>
      <xdr:nvSpPr>
        <xdr:cNvPr id="1" name="Line 3"/>
        <xdr:cNvSpPr>
          <a:spLocks/>
        </xdr:cNvSpPr>
      </xdr:nvSpPr>
      <xdr:spPr>
        <a:xfrm>
          <a:off x="6810375" y="7810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695325</xdr:colOff>
      <xdr:row>2</xdr:row>
      <xdr:rowOff>9525</xdr:rowOff>
    </xdr:from>
    <xdr:to>
      <xdr:col>6</xdr:col>
      <xdr:colOff>323850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962025" y="485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5"/>
  <sheetViews>
    <sheetView zoomScalePageLayoutView="0" workbookViewId="0" topLeftCell="A14">
      <selection activeCell="C31" sqref="C31"/>
    </sheetView>
  </sheetViews>
  <sheetFormatPr defaultColWidth="8.88671875" defaultRowHeight="18.75"/>
  <cols>
    <col min="2" max="2" width="13.99609375" style="0" bestFit="1" customWidth="1"/>
  </cols>
  <sheetData>
    <row r="4" spans="1:3" ht="18.75">
      <c r="A4">
        <v>1</v>
      </c>
      <c r="B4" t="s">
        <v>229</v>
      </c>
      <c r="C4" s="144">
        <f>Sheet2!I7</f>
        <v>118375</v>
      </c>
    </row>
    <row r="5" spans="1:3" ht="18.75">
      <c r="A5">
        <v>2</v>
      </c>
      <c r="B5" t="s">
        <v>228</v>
      </c>
      <c r="C5" s="144">
        <f>TH!Y7+THCS!P6+THPT!Q7</f>
        <v>31976</v>
      </c>
    </row>
    <row r="6" spans="1:3" ht="18.75">
      <c r="A6">
        <v>3</v>
      </c>
      <c r="B6" t="s">
        <v>230</v>
      </c>
      <c r="C6" s="144">
        <f>TH!W7+THCS!O6+THPT!P7</f>
        <v>59929</v>
      </c>
    </row>
    <row r="8" spans="1:6" ht="18.75">
      <c r="A8">
        <v>5</v>
      </c>
      <c r="B8" t="s">
        <v>231</v>
      </c>
      <c r="C8">
        <f>SUM(C9:C14)</f>
        <v>671</v>
      </c>
      <c r="D8">
        <f>SUM(D9:D14)</f>
        <v>7734</v>
      </c>
      <c r="E8">
        <f>SUM(E9:E14)</f>
        <v>1911</v>
      </c>
      <c r="F8">
        <f>SUM(C8:E8)</f>
        <v>10316</v>
      </c>
    </row>
    <row r="9" spans="2:6" ht="18.75">
      <c r="B9" t="s">
        <v>194</v>
      </c>
      <c r="C9">
        <v>148</v>
      </c>
      <c r="D9">
        <v>1294</v>
      </c>
      <c r="E9">
        <v>519</v>
      </c>
      <c r="F9">
        <f aca="true" t="shared" si="0" ref="F9:F14">SUM(C9:E9)</f>
        <v>1961</v>
      </c>
    </row>
    <row r="10" spans="2:6" ht="18.75">
      <c r="B10" t="s">
        <v>195</v>
      </c>
      <c r="C10">
        <v>310</v>
      </c>
      <c r="D10">
        <v>3188</v>
      </c>
      <c r="E10">
        <v>687</v>
      </c>
      <c r="F10">
        <f t="shared" si="0"/>
        <v>4185</v>
      </c>
    </row>
    <row r="11" spans="2:6" ht="18.75">
      <c r="B11" t="s">
        <v>80</v>
      </c>
      <c r="C11">
        <v>143</v>
      </c>
      <c r="D11">
        <v>2088</v>
      </c>
      <c r="E11">
        <v>470</v>
      </c>
      <c r="F11">
        <f t="shared" si="0"/>
        <v>2701</v>
      </c>
    </row>
    <row r="12" spans="2:6" ht="18.75">
      <c r="B12" t="s">
        <v>81</v>
      </c>
      <c r="C12">
        <v>56</v>
      </c>
      <c r="D12">
        <v>1012</v>
      </c>
      <c r="E12">
        <v>172</v>
      </c>
      <c r="F12">
        <f t="shared" si="0"/>
        <v>1240</v>
      </c>
    </row>
    <row r="13" spans="2:6" ht="18.75">
      <c r="B13" t="s">
        <v>232</v>
      </c>
      <c r="C13">
        <v>12</v>
      </c>
      <c r="D13">
        <v>92</v>
      </c>
      <c r="E13">
        <v>42</v>
      </c>
      <c r="F13">
        <f t="shared" si="0"/>
        <v>146</v>
      </c>
    </row>
    <row r="14" spans="2:6" ht="18.75">
      <c r="B14" t="s">
        <v>239</v>
      </c>
      <c r="C14">
        <v>2</v>
      </c>
      <c r="D14">
        <v>60</v>
      </c>
      <c r="E14">
        <v>21</v>
      </c>
      <c r="F14">
        <f t="shared" si="0"/>
        <v>83</v>
      </c>
    </row>
    <row r="19" spans="2:3" ht="18.75">
      <c r="B19" t="s">
        <v>238</v>
      </c>
      <c r="C19">
        <v>4</v>
      </c>
    </row>
    <row r="20" spans="2:3" ht="18.75">
      <c r="B20" t="s">
        <v>234</v>
      </c>
      <c r="C20">
        <v>4</v>
      </c>
    </row>
    <row r="21" spans="2:3" ht="18.75">
      <c r="B21" t="s">
        <v>261</v>
      </c>
      <c r="C21">
        <v>5</v>
      </c>
    </row>
    <row r="22" spans="2:3" ht="18.75">
      <c r="B22" t="s">
        <v>194</v>
      </c>
      <c r="C22">
        <v>3</v>
      </c>
    </row>
    <row r="23" spans="2:5" ht="18.75">
      <c r="B23" t="s">
        <v>195</v>
      </c>
      <c r="C23">
        <v>3</v>
      </c>
      <c r="D23" t="s">
        <v>242</v>
      </c>
      <c r="E23">
        <v>3</v>
      </c>
    </row>
    <row r="24" spans="2:3" ht="18.75">
      <c r="B24" t="s">
        <v>235</v>
      </c>
      <c r="C24">
        <v>8</v>
      </c>
    </row>
    <row r="25" spans="2:3" ht="18.75">
      <c r="B25" t="s">
        <v>236</v>
      </c>
      <c r="C25">
        <v>2</v>
      </c>
    </row>
    <row r="26" spans="2:3" ht="18.75">
      <c r="B26" t="s">
        <v>0</v>
      </c>
      <c r="C26">
        <v>5</v>
      </c>
    </row>
    <row r="27" spans="2:4" ht="18.75">
      <c r="B27" t="s">
        <v>237</v>
      </c>
      <c r="C27">
        <v>5</v>
      </c>
      <c r="D27">
        <v>5</v>
      </c>
    </row>
    <row r="28" spans="2:3" ht="18.75">
      <c r="B28" t="s">
        <v>232</v>
      </c>
      <c r="C28">
        <v>3</v>
      </c>
    </row>
    <row r="29" spans="2:3" ht="18.75">
      <c r="B29" t="s">
        <v>243</v>
      </c>
      <c r="C29">
        <v>5</v>
      </c>
    </row>
    <row r="31" ht="18.75">
      <c r="C31">
        <f>SUM(C19:C30)</f>
        <v>47</v>
      </c>
    </row>
    <row r="33" spans="2:3" ht="18.75">
      <c r="B33" t="s">
        <v>240</v>
      </c>
      <c r="C33">
        <v>3</v>
      </c>
    </row>
    <row r="34" ht="18.75">
      <c r="B34" t="s">
        <v>241</v>
      </c>
    </row>
    <row r="35" ht="18.75">
      <c r="C35">
        <f>C31+D27+C33+C34</f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H9" sqref="H9"/>
    </sheetView>
  </sheetViews>
  <sheetFormatPr defaultColWidth="8.88671875" defaultRowHeight="18.75"/>
  <cols>
    <col min="1" max="1" width="22.3359375" style="0" customWidth="1"/>
    <col min="8" max="8" width="9.5546875" style="0" bestFit="1" customWidth="1"/>
  </cols>
  <sheetData>
    <row r="2" spans="1:9" ht="18.75">
      <c r="A2" s="94" t="s">
        <v>169</v>
      </c>
      <c r="B2" s="94" t="s">
        <v>90</v>
      </c>
      <c r="C2" s="94" t="s">
        <v>2</v>
      </c>
      <c r="D2" s="94" t="s">
        <v>170</v>
      </c>
      <c r="E2" s="94" t="s">
        <v>79</v>
      </c>
      <c r="F2" s="94" t="s">
        <v>80</v>
      </c>
      <c r="G2" s="94" t="s">
        <v>81</v>
      </c>
      <c r="H2" s="94" t="s">
        <v>62</v>
      </c>
      <c r="I2" s="206" t="s">
        <v>256</v>
      </c>
    </row>
    <row r="3" spans="1:9" ht="18.75">
      <c r="A3" s="95" t="s">
        <v>171</v>
      </c>
      <c r="B3" s="96"/>
      <c r="C3" s="96">
        <f>MG!I28+MG!J28</f>
        <v>62</v>
      </c>
      <c r="D3" s="96">
        <f>MG!G28+MG!H28</f>
        <v>28</v>
      </c>
      <c r="E3" s="96">
        <v>150</v>
      </c>
      <c r="F3" s="96">
        <v>64</v>
      </c>
      <c r="G3" s="96">
        <v>20</v>
      </c>
      <c r="H3" s="103">
        <f>SUM(B3:G3)</f>
        <v>324</v>
      </c>
      <c r="I3" s="104">
        <f>SUM(E3:G3)</f>
        <v>234</v>
      </c>
    </row>
    <row r="4" spans="1:9" ht="18.75">
      <c r="A4" s="98" t="s">
        <v>172</v>
      </c>
      <c r="B4" s="96"/>
      <c r="C4" s="96">
        <f>MG!J28</f>
        <v>9</v>
      </c>
      <c r="D4" s="96">
        <f>MG!H28</f>
        <v>17</v>
      </c>
      <c r="E4" s="96"/>
      <c r="F4" s="96"/>
      <c r="G4" s="96">
        <v>2</v>
      </c>
      <c r="H4" s="103">
        <f>SUM(B4:G4)</f>
        <v>28</v>
      </c>
      <c r="I4" s="104"/>
    </row>
    <row r="5" spans="1:9" ht="18.75">
      <c r="A5" s="95" t="s">
        <v>173</v>
      </c>
      <c r="B5" s="96">
        <f>MG!F10</f>
        <v>239</v>
      </c>
      <c r="C5" s="96">
        <f>MG!S10</f>
        <v>877</v>
      </c>
      <c r="D5" s="96" t="s">
        <v>105</v>
      </c>
      <c r="E5" s="99">
        <f>TH!J7</f>
        <v>2237</v>
      </c>
      <c r="F5" s="99">
        <f>THCS!F6</f>
        <v>1037</v>
      </c>
      <c r="G5" s="160">
        <f>THPT!E7</f>
        <v>459</v>
      </c>
      <c r="H5" s="103">
        <f>SUM(B5:G5)</f>
        <v>4849</v>
      </c>
      <c r="I5" s="104">
        <f>SUM(E5:G5)</f>
        <v>3733</v>
      </c>
    </row>
    <row r="6" spans="1:9" ht="18.75">
      <c r="A6" s="98" t="s">
        <v>174</v>
      </c>
      <c r="B6" s="100">
        <f>MG!N10</f>
        <v>221</v>
      </c>
      <c r="C6" s="100">
        <f>MG!AA10</f>
        <v>313</v>
      </c>
      <c r="D6" s="100" t="s">
        <v>105</v>
      </c>
      <c r="E6" s="100">
        <f>8+6</f>
        <v>14</v>
      </c>
      <c r="F6" s="100">
        <v>7</v>
      </c>
      <c r="G6" s="100">
        <f>THPT!E30</f>
        <v>7</v>
      </c>
      <c r="H6" s="103">
        <f>SUM(B6:G6)</f>
        <v>562</v>
      </c>
      <c r="I6" s="104">
        <f aca="true" t="shared" si="0" ref="I6:I12">SUM(E6:G6)</f>
        <v>28</v>
      </c>
    </row>
    <row r="7" spans="1:9" ht="18.75">
      <c r="A7" s="95" t="s">
        <v>175</v>
      </c>
      <c r="B7" s="99">
        <f>MG!G10</f>
        <v>3986</v>
      </c>
      <c r="C7" s="99">
        <f>MG!T10</f>
        <v>23231</v>
      </c>
      <c r="D7" s="96" t="s">
        <v>105</v>
      </c>
      <c r="E7" s="99">
        <f>TH!I7</f>
        <v>62756</v>
      </c>
      <c r="F7" s="99">
        <f>THCS!E6</f>
        <v>37974</v>
      </c>
      <c r="G7" s="99">
        <f>THPT!D7</f>
        <v>17645</v>
      </c>
      <c r="H7" s="103">
        <f>SUM(B7:G7)</f>
        <v>145592</v>
      </c>
      <c r="I7" s="104">
        <f>SUM(E7:G7)</f>
        <v>118375</v>
      </c>
    </row>
    <row r="8" spans="1:9" ht="18.75">
      <c r="A8" s="98" t="s">
        <v>174</v>
      </c>
      <c r="B8" s="101">
        <f>MG!O10</f>
        <v>3622</v>
      </c>
      <c r="C8" s="101">
        <f>MG!AC10</f>
        <v>7921</v>
      </c>
      <c r="D8" s="100" t="s">
        <v>105</v>
      </c>
      <c r="E8" s="100">
        <v>251</v>
      </c>
      <c r="F8" s="100">
        <v>85</v>
      </c>
      <c r="G8" s="100">
        <f>THPT!D30</f>
        <v>133</v>
      </c>
      <c r="H8" s="103">
        <f aca="true" t="shared" si="1" ref="H8:H14">SUM(B8:G8)</f>
        <v>12012</v>
      </c>
      <c r="I8" s="104">
        <f t="shared" si="0"/>
        <v>469</v>
      </c>
    </row>
    <row r="9" spans="1:10" ht="18.75">
      <c r="A9" s="95" t="s">
        <v>176</v>
      </c>
      <c r="B9" s="96">
        <f>MG!H10</f>
        <v>324</v>
      </c>
      <c r="C9" s="96">
        <f>MG!U10</f>
        <v>1468</v>
      </c>
      <c r="D9" s="96" t="s">
        <v>105</v>
      </c>
      <c r="E9" s="99">
        <f>TH!AF7</f>
        <v>3224</v>
      </c>
      <c r="F9" s="99">
        <f>THCS!W6</f>
        <v>1983</v>
      </c>
      <c r="G9" s="99">
        <f>THPT!X7</f>
        <v>994</v>
      </c>
      <c r="H9" s="103">
        <f>SUM(B9:G9)</f>
        <v>7993</v>
      </c>
      <c r="I9" s="104">
        <f t="shared" si="0"/>
        <v>6201</v>
      </c>
      <c r="J9">
        <f>B9+C9</f>
        <v>1792</v>
      </c>
    </row>
    <row r="10" spans="1:9" ht="18.75">
      <c r="A10" s="98" t="s">
        <v>174</v>
      </c>
      <c r="B10" s="100">
        <f>MG!P10</f>
        <v>290</v>
      </c>
      <c r="C10" s="100">
        <f>MG!AD10</f>
        <v>489</v>
      </c>
      <c r="D10" s="100" t="s">
        <v>105</v>
      </c>
      <c r="E10" s="100">
        <v>28</v>
      </c>
      <c r="F10" s="100">
        <v>43</v>
      </c>
      <c r="G10" s="100">
        <f>THPT!X30</f>
        <v>9</v>
      </c>
      <c r="H10" s="103">
        <f t="shared" si="1"/>
        <v>859</v>
      </c>
      <c r="I10" s="104">
        <f>SUM(E10:G10)</f>
        <v>80</v>
      </c>
    </row>
    <row r="11" spans="1:9" ht="18.75">
      <c r="A11" s="95" t="s">
        <v>177</v>
      </c>
      <c r="B11" s="96">
        <f>MG!I10</f>
        <v>228</v>
      </c>
      <c r="C11" s="96">
        <f>MG!V10</f>
        <v>802</v>
      </c>
      <c r="D11" s="96" t="s">
        <v>105</v>
      </c>
      <c r="E11" s="99">
        <f>TH!AB7</f>
        <v>2039</v>
      </c>
      <c r="F11" s="96">
        <f>THCS!S6</f>
        <v>854</v>
      </c>
      <c r="G11" s="160">
        <f>THPT!T7</f>
        <v>350</v>
      </c>
      <c r="H11" s="103">
        <f t="shared" si="1"/>
        <v>4273</v>
      </c>
      <c r="I11" s="104">
        <f t="shared" si="0"/>
        <v>3243</v>
      </c>
    </row>
    <row r="12" spans="1:9" ht="18.75">
      <c r="A12" s="98" t="s">
        <v>174</v>
      </c>
      <c r="B12" s="100">
        <f>MG!Q10</f>
        <v>210</v>
      </c>
      <c r="C12" s="100">
        <f>MG!AE10</f>
        <v>306</v>
      </c>
      <c r="D12" s="100" t="s">
        <v>105</v>
      </c>
      <c r="E12" s="100">
        <v>14</v>
      </c>
      <c r="F12" s="100">
        <v>7</v>
      </c>
      <c r="G12" s="100">
        <f>THPT!T30</f>
        <v>7</v>
      </c>
      <c r="H12" s="103">
        <f t="shared" si="1"/>
        <v>544</v>
      </c>
      <c r="I12" s="104">
        <f t="shared" si="0"/>
        <v>28</v>
      </c>
    </row>
    <row r="13" spans="1:9" ht="19.5">
      <c r="A13" s="95" t="s">
        <v>178</v>
      </c>
      <c r="B13" s="102" t="s">
        <v>105</v>
      </c>
      <c r="C13" s="102">
        <v>8</v>
      </c>
      <c r="D13" s="102">
        <v>5</v>
      </c>
      <c r="E13" s="102">
        <v>61</v>
      </c>
      <c r="F13" s="102">
        <v>26</v>
      </c>
      <c r="G13" s="102">
        <v>3</v>
      </c>
      <c r="H13" s="103">
        <f t="shared" si="1"/>
        <v>103</v>
      </c>
      <c r="I13" s="104">
        <f>SUM(E13:G13)</f>
        <v>90</v>
      </c>
    </row>
    <row r="14" spans="1:10" ht="19.5">
      <c r="A14" s="95" t="s">
        <v>179</v>
      </c>
      <c r="B14" s="99">
        <f>B7</f>
        <v>3986</v>
      </c>
      <c r="C14" s="99">
        <v>21100</v>
      </c>
      <c r="D14" s="102" t="s">
        <v>105</v>
      </c>
      <c r="E14" s="99">
        <f>E7*67.8%</f>
        <v>42548.568</v>
      </c>
      <c r="F14" s="99">
        <f>THCS!E20+THCS!E28</f>
        <v>1986</v>
      </c>
      <c r="G14" s="99">
        <f>THPT!D26+THPT!D12</f>
        <v>493</v>
      </c>
      <c r="H14" s="103">
        <f t="shared" si="1"/>
        <v>70113.568</v>
      </c>
      <c r="I14" s="104">
        <f>SUM(E14:G14)</f>
        <v>45027.568</v>
      </c>
      <c r="J14" s="161"/>
    </row>
    <row r="15" spans="1:9" ht="19.5">
      <c r="A15" s="95" t="s">
        <v>180</v>
      </c>
      <c r="B15" s="102"/>
      <c r="C15" s="102"/>
      <c r="D15" s="102"/>
      <c r="E15" s="102" t="s">
        <v>253</v>
      </c>
      <c r="F15" s="102" t="s">
        <v>254</v>
      </c>
      <c r="G15" s="102"/>
      <c r="H15" s="97"/>
      <c r="I15" s="93"/>
    </row>
    <row r="16" spans="1:9" ht="19.5">
      <c r="A16" s="95" t="s">
        <v>181</v>
      </c>
      <c r="B16" s="102"/>
      <c r="C16" s="102"/>
      <c r="D16" s="102"/>
      <c r="E16" s="102"/>
      <c r="F16" s="102" t="s">
        <v>253</v>
      </c>
      <c r="G16" s="102" t="s">
        <v>255</v>
      </c>
      <c r="H16" s="97"/>
      <c r="I16" s="93"/>
    </row>
    <row r="18" spans="1:8" ht="18.75">
      <c r="A18" s="163" t="s">
        <v>207</v>
      </c>
      <c r="B18" s="144">
        <f>TH!Y7+THCS!P6+THPT!Q7</f>
        <v>31976</v>
      </c>
      <c r="H18" s="144"/>
    </row>
    <row r="19" spans="1:2" ht="18.75">
      <c r="A19" s="163" t="s">
        <v>208</v>
      </c>
      <c r="B19" s="144">
        <f>TH!W7+THCS!O6+THPT!P7</f>
        <v>59929</v>
      </c>
    </row>
    <row r="22" spans="1:5" ht="18.75">
      <c r="A22" s="191"/>
      <c r="B22" s="192" t="s">
        <v>209</v>
      </c>
      <c r="C22" s="192" t="s">
        <v>87</v>
      </c>
      <c r="D22" s="193" t="s">
        <v>193</v>
      </c>
      <c r="E22" s="192" t="s">
        <v>106</v>
      </c>
    </row>
    <row r="23" spans="1:5" ht="18.75">
      <c r="A23" s="192" t="s">
        <v>62</v>
      </c>
      <c r="B23" s="93">
        <f>SUM(B24:B30)</f>
        <v>598</v>
      </c>
      <c r="C23" s="93">
        <f>SUM(C24:C30)</f>
        <v>8093</v>
      </c>
      <c r="D23" s="93">
        <f>SUM(D24:D30)</f>
        <v>1281</v>
      </c>
      <c r="E23" s="93">
        <f>SUM(B23:D23)</f>
        <v>9972</v>
      </c>
    </row>
    <row r="24" spans="1:5" ht="18.75">
      <c r="A24" s="192" t="s">
        <v>194</v>
      </c>
      <c r="B24" s="93">
        <v>157</v>
      </c>
      <c r="C24" s="93">
        <f>B9+C9</f>
        <v>1792</v>
      </c>
      <c r="D24" s="93">
        <v>534</v>
      </c>
      <c r="E24" s="93">
        <f aca="true" t="shared" si="2" ref="E24:E30">SUM(B24:D24)</f>
        <v>2483</v>
      </c>
    </row>
    <row r="25" spans="1:5" ht="18.75">
      <c r="A25" s="192" t="s">
        <v>195</v>
      </c>
      <c r="B25" s="93">
        <f>TH!AH7</f>
        <v>255</v>
      </c>
      <c r="C25" s="194">
        <f>E9</f>
        <v>3224</v>
      </c>
      <c r="D25" s="194">
        <f>TH!AJ7-C25-B25</f>
        <v>303</v>
      </c>
      <c r="E25" s="93">
        <f t="shared" si="2"/>
        <v>3782</v>
      </c>
    </row>
    <row r="26" spans="1:5" ht="18.75">
      <c r="A26" s="192" t="s">
        <v>80</v>
      </c>
      <c r="B26" s="93">
        <f>THCS!Y6</f>
        <v>125</v>
      </c>
      <c r="C26" s="194">
        <f>F9</f>
        <v>1983</v>
      </c>
      <c r="D26" s="194">
        <f>THCS!AA6-C26-B26</f>
        <v>248</v>
      </c>
      <c r="E26" s="93">
        <f t="shared" si="2"/>
        <v>2356</v>
      </c>
    </row>
    <row r="27" spans="1:5" ht="18.75">
      <c r="A27" s="192" t="s">
        <v>81</v>
      </c>
      <c r="B27" s="191">
        <f>THPT!Z7</f>
        <v>56</v>
      </c>
      <c r="C27" s="194">
        <f>G9</f>
        <v>994</v>
      </c>
      <c r="D27" s="191">
        <f>THPT!AB7-C27-B27</f>
        <v>158</v>
      </c>
      <c r="E27" s="93">
        <f t="shared" si="2"/>
        <v>1208</v>
      </c>
    </row>
    <row r="28" spans="1:5" ht="18.75">
      <c r="A28" s="192" t="s">
        <v>232</v>
      </c>
      <c r="B28" s="93">
        <f>'THPT GDTX'!T8</f>
        <v>2</v>
      </c>
      <c r="C28" s="93">
        <f>'THPT GDTX'!R8</f>
        <v>34</v>
      </c>
      <c r="D28" s="93">
        <f>'THPT GDTX'!V8-C28-B28</f>
        <v>15</v>
      </c>
      <c r="E28" s="93">
        <f t="shared" si="2"/>
        <v>51</v>
      </c>
    </row>
    <row r="29" spans="1:5" ht="18.75">
      <c r="A29" s="195" t="s">
        <v>258</v>
      </c>
      <c r="B29" s="93">
        <v>2</v>
      </c>
      <c r="C29" s="93">
        <v>58</v>
      </c>
      <c r="D29" s="93">
        <v>18</v>
      </c>
      <c r="E29" s="93">
        <f t="shared" si="2"/>
        <v>78</v>
      </c>
    </row>
    <row r="30" spans="1:5" ht="18.75">
      <c r="A30" s="195" t="s">
        <v>259</v>
      </c>
      <c r="B30" s="93">
        <v>1</v>
      </c>
      <c r="C30" s="93">
        <v>8</v>
      </c>
      <c r="D30" s="93">
        <v>5</v>
      </c>
      <c r="E30" s="93">
        <f t="shared" si="2"/>
        <v>14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zoomScale="90" zoomScaleNormal="90" zoomScalePageLayoutView="0" workbookViewId="0" topLeftCell="A1">
      <selection activeCell="Y39" sqref="Y39:Y40"/>
    </sheetView>
  </sheetViews>
  <sheetFormatPr defaultColWidth="8.88671875" defaultRowHeight="18.75"/>
  <cols>
    <col min="1" max="1" width="3.10546875" style="207" customWidth="1"/>
    <col min="2" max="2" width="9.5546875" style="207" customWidth="1"/>
    <col min="3" max="3" width="3.4453125" style="207" customWidth="1"/>
    <col min="4" max="4" width="5.21484375" style="207" customWidth="1"/>
    <col min="5" max="5" width="5.88671875" style="207" customWidth="1"/>
    <col min="6" max="7" width="4.3359375" style="208" customWidth="1"/>
    <col min="8" max="8" width="3.77734375" style="208" customWidth="1"/>
    <col min="9" max="9" width="4.3359375" style="208" customWidth="1"/>
    <col min="10" max="10" width="3.88671875" style="208" bestFit="1" customWidth="1"/>
    <col min="11" max="11" width="4.5546875" style="208" customWidth="1"/>
    <col min="12" max="12" width="3.99609375" style="208" customWidth="1"/>
    <col min="13" max="13" width="4.5546875" style="208" customWidth="1"/>
    <col min="14" max="14" width="4.3359375" style="208" customWidth="1"/>
    <col min="15" max="16" width="4.10546875" style="208" customWidth="1"/>
    <col min="17" max="17" width="5.10546875" style="208" customWidth="1"/>
    <col min="18" max="18" width="6.21484375" style="208" hidden="1" customWidth="1"/>
    <col min="19" max="19" width="4.77734375" style="208" customWidth="1"/>
    <col min="20" max="20" width="5.4453125" style="208" bestFit="1" customWidth="1"/>
    <col min="21" max="21" width="4.5546875" style="208" customWidth="1"/>
    <col min="22" max="22" width="4.88671875" style="208" bestFit="1" customWidth="1"/>
    <col min="23" max="23" width="4.5546875" style="208" customWidth="1"/>
    <col min="24" max="25" width="5.4453125" style="208" customWidth="1"/>
    <col min="26" max="26" width="5.21484375" style="208" customWidth="1"/>
    <col min="27" max="27" width="4.99609375" style="208" customWidth="1"/>
    <col min="28" max="28" width="4.99609375" style="208" hidden="1" customWidth="1"/>
    <col min="29" max="29" width="5.10546875" style="208" customWidth="1"/>
    <col min="30" max="30" width="4.88671875" style="208" customWidth="1"/>
    <col min="31" max="31" width="4.99609375" style="208" customWidth="1"/>
    <col min="32" max="16384" width="8.88671875" style="208" customWidth="1"/>
  </cols>
  <sheetData>
    <row r="1" spans="2:31" ht="18.75">
      <c r="B1" s="482" t="s">
        <v>21</v>
      </c>
      <c r="C1" s="482"/>
      <c r="D1" s="482"/>
      <c r="E1" s="482"/>
      <c r="F1" s="483"/>
      <c r="G1" s="483"/>
      <c r="H1" s="483"/>
      <c r="I1" s="483"/>
      <c r="J1" s="483"/>
      <c r="K1" s="484" t="s">
        <v>331</v>
      </c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</row>
    <row r="2" spans="2:31" ht="18.75"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</row>
    <row r="3" spans="11:31" ht="18.75"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</row>
    <row r="4" ht="19.5" thickBot="1"/>
    <row r="5" spans="1:31" s="2" customFormat="1" ht="18.75" customHeight="1">
      <c r="A5" s="498" t="s">
        <v>0</v>
      </c>
      <c r="B5" s="485" t="s">
        <v>1</v>
      </c>
      <c r="C5" s="493" t="s">
        <v>183</v>
      </c>
      <c r="D5" s="487" t="s">
        <v>11</v>
      </c>
      <c r="E5" s="488"/>
      <c r="F5" s="472" t="s">
        <v>90</v>
      </c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307"/>
      <c r="S5" s="472" t="s">
        <v>2</v>
      </c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505"/>
    </row>
    <row r="6" spans="1:31" s="2" customFormat="1" ht="17.25" customHeight="1">
      <c r="A6" s="499"/>
      <c r="B6" s="486"/>
      <c r="C6" s="494"/>
      <c r="D6" s="489"/>
      <c r="E6" s="490"/>
      <c r="F6" s="501" t="s">
        <v>4</v>
      </c>
      <c r="G6" s="502"/>
      <c r="H6" s="502"/>
      <c r="I6" s="503"/>
      <c r="J6" s="479" t="s">
        <v>3</v>
      </c>
      <c r="K6" s="480"/>
      <c r="L6" s="480"/>
      <c r="M6" s="480"/>
      <c r="N6" s="480"/>
      <c r="O6" s="480"/>
      <c r="P6" s="480"/>
      <c r="Q6" s="481"/>
      <c r="R6" s="308"/>
      <c r="S6" s="501" t="s">
        <v>11</v>
      </c>
      <c r="T6" s="502"/>
      <c r="U6" s="502"/>
      <c r="V6" s="503"/>
      <c r="W6" s="479" t="s">
        <v>3</v>
      </c>
      <c r="X6" s="480"/>
      <c r="Y6" s="480"/>
      <c r="Z6" s="480"/>
      <c r="AA6" s="480"/>
      <c r="AB6" s="480"/>
      <c r="AC6" s="480"/>
      <c r="AD6" s="480"/>
      <c r="AE6" s="500"/>
    </row>
    <row r="7" spans="1:31" s="2" customFormat="1" ht="19.5" customHeight="1">
      <c r="A7" s="499"/>
      <c r="B7" s="486"/>
      <c r="C7" s="494"/>
      <c r="D7" s="491"/>
      <c r="E7" s="492"/>
      <c r="F7" s="491"/>
      <c r="G7" s="504"/>
      <c r="H7" s="504"/>
      <c r="I7" s="492"/>
      <c r="J7" s="479" t="s">
        <v>5</v>
      </c>
      <c r="K7" s="480"/>
      <c r="L7" s="480"/>
      <c r="M7" s="481"/>
      <c r="N7" s="479" t="s">
        <v>6</v>
      </c>
      <c r="O7" s="480"/>
      <c r="P7" s="480"/>
      <c r="Q7" s="481"/>
      <c r="R7" s="309"/>
      <c r="S7" s="491"/>
      <c r="T7" s="504"/>
      <c r="U7" s="504"/>
      <c r="V7" s="492"/>
      <c r="W7" s="479" t="s">
        <v>5</v>
      </c>
      <c r="X7" s="480"/>
      <c r="Y7" s="480"/>
      <c r="Z7" s="481"/>
      <c r="AA7" s="479" t="s">
        <v>19</v>
      </c>
      <c r="AB7" s="480"/>
      <c r="AC7" s="480"/>
      <c r="AD7" s="480"/>
      <c r="AE7" s="500"/>
    </row>
    <row r="8" spans="1:31" s="2" customFormat="1" ht="18.75" customHeight="1">
      <c r="A8" s="499"/>
      <c r="B8" s="486"/>
      <c r="C8" s="495"/>
      <c r="D8" s="63" t="s">
        <v>7</v>
      </c>
      <c r="E8" s="63" t="s">
        <v>8</v>
      </c>
      <c r="F8" s="63" t="s">
        <v>7</v>
      </c>
      <c r="G8" s="63" t="s">
        <v>8</v>
      </c>
      <c r="H8" s="63" t="s">
        <v>9</v>
      </c>
      <c r="I8" s="63" t="s">
        <v>10</v>
      </c>
      <c r="J8" s="358" t="s">
        <v>7</v>
      </c>
      <c r="K8" s="358" t="s">
        <v>8</v>
      </c>
      <c r="L8" s="63" t="s">
        <v>9</v>
      </c>
      <c r="M8" s="63" t="s">
        <v>10</v>
      </c>
      <c r="N8" s="358" t="s">
        <v>7</v>
      </c>
      <c r="O8" s="358" t="s">
        <v>8</v>
      </c>
      <c r="P8" s="63" t="s">
        <v>9</v>
      </c>
      <c r="Q8" s="63" t="s">
        <v>10</v>
      </c>
      <c r="R8" s="63"/>
      <c r="S8" s="63" t="s">
        <v>20</v>
      </c>
      <c r="T8" s="63" t="s">
        <v>8</v>
      </c>
      <c r="U8" s="63" t="s">
        <v>9</v>
      </c>
      <c r="V8" s="63" t="s">
        <v>10</v>
      </c>
      <c r="W8" s="358" t="s">
        <v>20</v>
      </c>
      <c r="X8" s="358" t="s">
        <v>8</v>
      </c>
      <c r="Y8" s="63" t="s">
        <v>9</v>
      </c>
      <c r="Z8" s="63" t="s">
        <v>10</v>
      </c>
      <c r="AA8" s="63" t="s">
        <v>20</v>
      </c>
      <c r="AB8" s="63"/>
      <c r="AC8" s="63" t="s">
        <v>8</v>
      </c>
      <c r="AD8" s="63" t="s">
        <v>9</v>
      </c>
      <c r="AE8" s="74" t="s">
        <v>10</v>
      </c>
    </row>
    <row r="9" spans="1:31" ht="15" customHeight="1" thickBot="1">
      <c r="A9" s="76">
        <v>1</v>
      </c>
      <c r="B9" s="75">
        <v>2</v>
      </c>
      <c r="C9" s="75"/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75">
        <v>12</v>
      </c>
      <c r="N9" s="75">
        <v>13</v>
      </c>
      <c r="O9" s="75">
        <v>14</v>
      </c>
      <c r="P9" s="75">
        <v>15</v>
      </c>
      <c r="Q9" s="75">
        <v>16</v>
      </c>
      <c r="R9" s="75"/>
      <c r="S9" s="75">
        <v>17</v>
      </c>
      <c r="T9" s="75">
        <v>18</v>
      </c>
      <c r="U9" s="75">
        <v>19</v>
      </c>
      <c r="V9" s="75">
        <v>20</v>
      </c>
      <c r="W9" s="75">
        <v>21</v>
      </c>
      <c r="X9" s="75">
        <v>22</v>
      </c>
      <c r="Y9" s="75">
        <v>23</v>
      </c>
      <c r="Z9" s="75">
        <v>24</v>
      </c>
      <c r="AA9" s="75">
        <v>25</v>
      </c>
      <c r="AB9" s="75"/>
      <c r="AC9" s="75">
        <v>26</v>
      </c>
      <c r="AD9" s="75">
        <v>27</v>
      </c>
      <c r="AE9" s="77">
        <v>28</v>
      </c>
    </row>
    <row r="10" spans="1:31" s="3" customFormat="1" ht="17.25" customHeight="1">
      <c r="A10" s="185"/>
      <c r="B10" s="78" t="s">
        <v>11</v>
      </c>
      <c r="C10" s="110">
        <f>SUM(C11:C17)</f>
        <v>23</v>
      </c>
      <c r="D10" s="80">
        <f aca="true" t="shared" si="0" ref="D10:E17">F10+S10</f>
        <v>1116</v>
      </c>
      <c r="E10" s="80">
        <f t="shared" si="0"/>
        <v>27217</v>
      </c>
      <c r="F10" s="79">
        <f aca="true" t="shared" si="1" ref="F10:AE10">SUM(F11:F17)</f>
        <v>239</v>
      </c>
      <c r="G10" s="79">
        <f t="shared" si="1"/>
        <v>3986</v>
      </c>
      <c r="H10" s="79">
        <f t="shared" si="1"/>
        <v>324</v>
      </c>
      <c r="I10" s="79">
        <f t="shared" si="1"/>
        <v>228</v>
      </c>
      <c r="J10" s="79">
        <f t="shared" si="1"/>
        <v>18</v>
      </c>
      <c r="K10" s="79">
        <f t="shared" si="1"/>
        <v>364</v>
      </c>
      <c r="L10" s="79">
        <f t="shared" si="1"/>
        <v>34</v>
      </c>
      <c r="M10" s="79">
        <f t="shared" si="1"/>
        <v>18</v>
      </c>
      <c r="N10" s="79">
        <f t="shared" si="1"/>
        <v>221</v>
      </c>
      <c r="O10" s="79">
        <f t="shared" si="1"/>
        <v>3622</v>
      </c>
      <c r="P10" s="79">
        <f t="shared" si="1"/>
        <v>290</v>
      </c>
      <c r="Q10" s="79">
        <f t="shared" si="1"/>
        <v>210</v>
      </c>
      <c r="R10" s="79">
        <f>SUM(R11:R16)</f>
        <v>461</v>
      </c>
      <c r="S10" s="79">
        <f t="shared" si="1"/>
        <v>877</v>
      </c>
      <c r="T10" s="79">
        <f t="shared" si="1"/>
        <v>23231</v>
      </c>
      <c r="U10" s="79">
        <f t="shared" si="1"/>
        <v>1468</v>
      </c>
      <c r="V10" s="79">
        <f t="shared" si="1"/>
        <v>802</v>
      </c>
      <c r="W10" s="79">
        <f t="shared" si="1"/>
        <v>564</v>
      </c>
      <c r="X10" s="79">
        <f t="shared" si="1"/>
        <v>15310</v>
      </c>
      <c r="Y10" s="79">
        <f t="shared" si="1"/>
        <v>979</v>
      </c>
      <c r="Z10" s="79">
        <f t="shared" si="1"/>
        <v>531</v>
      </c>
      <c r="AA10" s="79">
        <f t="shared" si="1"/>
        <v>313</v>
      </c>
      <c r="AB10" s="79"/>
      <c r="AC10" s="79">
        <f t="shared" si="1"/>
        <v>7921</v>
      </c>
      <c r="AD10" s="79">
        <f t="shared" si="1"/>
        <v>489</v>
      </c>
      <c r="AE10" s="81">
        <f t="shared" si="1"/>
        <v>306</v>
      </c>
    </row>
    <row r="11" spans="1:31" s="209" customFormat="1" ht="15.75" customHeight="1">
      <c r="A11" s="242">
        <v>1</v>
      </c>
      <c r="B11" s="243" t="s">
        <v>12</v>
      </c>
      <c r="C11" s="244">
        <v>2</v>
      </c>
      <c r="D11" s="245">
        <f t="shared" si="0"/>
        <v>169</v>
      </c>
      <c r="E11" s="245">
        <f t="shared" si="0"/>
        <v>3528</v>
      </c>
      <c r="F11" s="246">
        <f aca="true" t="shared" si="2" ref="F11:I17">J11+N11</f>
        <v>42</v>
      </c>
      <c r="G11" s="246">
        <f t="shared" si="2"/>
        <v>538</v>
      </c>
      <c r="H11" s="246">
        <f t="shared" si="2"/>
        <v>41</v>
      </c>
      <c r="I11" s="246">
        <f t="shared" si="2"/>
        <v>41</v>
      </c>
      <c r="J11" s="246">
        <v>1</v>
      </c>
      <c r="K11" s="246">
        <v>26</v>
      </c>
      <c r="L11" s="246">
        <v>0</v>
      </c>
      <c r="M11" s="246">
        <v>1</v>
      </c>
      <c r="N11" s="246">
        <v>41</v>
      </c>
      <c r="O11" s="246">
        <v>512</v>
      </c>
      <c r="P11" s="246">
        <v>41</v>
      </c>
      <c r="Q11" s="246">
        <v>40</v>
      </c>
      <c r="R11" s="246">
        <f aca="true" t="shared" si="3" ref="R11:R17">M11+Z11</f>
        <v>94</v>
      </c>
      <c r="S11" s="246">
        <f aca="true" t="shared" si="4" ref="S11:S17">W11+AA11</f>
        <v>127</v>
      </c>
      <c r="T11" s="246">
        <f aca="true" t="shared" si="5" ref="T11:V16">X11+AC11</f>
        <v>2990</v>
      </c>
      <c r="U11" s="246">
        <f t="shared" si="5"/>
        <v>201</v>
      </c>
      <c r="V11" s="246">
        <f t="shared" si="5"/>
        <v>124</v>
      </c>
      <c r="W11" s="246">
        <v>93</v>
      </c>
      <c r="X11" s="246">
        <v>2270</v>
      </c>
      <c r="Y11" s="246">
        <v>161</v>
      </c>
      <c r="Z11" s="246">
        <v>93</v>
      </c>
      <c r="AA11" s="246">
        <v>34</v>
      </c>
      <c r="AB11" s="246"/>
      <c r="AC11" s="246">
        <v>720</v>
      </c>
      <c r="AD11" s="246">
        <v>40</v>
      </c>
      <c r="AE11" s="247">
        <v>31</v>
      </c>
    </row>
    <row r="12" spans="1:31" s="86" customFormat="1" ht="14.25" customHeight="1">
      <c r="A12" s="248">
        <v>2</v>
      </c>
      <c r="B12" s="249" t="s">
        <v>13</v>
      </c>
      <c r="C12" s="9">
        <v>2</v>
      </c>
      <c r="D12" s="250">
        <f t="shared" si="0"/>
        <v>88</v>
      </c>
      <c r="E12" s="250">
        <f t="shared" si="0"/>
        <v>2479</v>
      </c>
      <c r="F12" s="85">
        <f t="shared" si="2"/>
        <v>22</v>
      </c>
      <c r="G12" s="85">
        <f t="shared" si="2"/>
        <v>383</v>
      </c>
      <c r="H12" s="85">
        <f t="shared" si="2"/>
        <v>6</v>
      </c>
      <c r="I12" s="85">
        <f t="shared" si="2"/>
        <v>22</v>
      </c>
      <c r="J12" s="85">
        <v>1</v>
      </c>
      <c r="K12" s="85">
        <v>20</v>
      </c>
      <c r="L12" s="85">
        <v>2</v>
      </c>
      <c r="M12" s="85">
        <v>1</v>
      </c>
      <c r="N12" s="85">
        <v>21</v>
      </c>
      <c r="O12" s="85">
        <v>363</v>
      </c>
      <c r="P12" s="85">
        <v>4</v>
      </c>
      <c r="Q12" s="85">
        <v>21</v>
      </c>
      <c r="R12" s="246">
        <f t="shared" si="3"/>
        <v>57</v>
      </c>
      <c r="S12" s="85">
        <f t="shared" si="4"/>
        <v>66</v>
      </c>
      <c r="T12" s="85">
        <f t="shared" si="5"/>
        <v>2096</v>
      </c>
      <c r="U12" s="85">
        <f t="shared" si="5"/>
        <v>124</v>
      </c>
      <c r="V12" s="85">
        <f t="shared" si="5"/>
        <v>64</v>
      </c>
      <c r="W12" s="85">
        <v>56</v>
      </c>
      <c r="X12" s="85">
        <v>1859</v>
      </c>
      <c r="Y12" s="85">
        <v>112</v>
      </c>
      <c r="Z12" s="85">
        <v>56</v>
      </c>
      <c r="AA12" s="85">
        <v>10</v>
      </c>
      <c r="AB12" s="85"/>
      <c r="AC12" s="85">
        <v>237</v>
      </c>
      <c r="AD12" s="85">
        <v>12</v>
      </c>
      <c r="AE12" s="141">
        <v>8</v>
      </c>
    </row>
    <row r="13" spans="1:31" s="209" customFormat="1" ht="16.5" customHeight="1">
      <c r="A13" s="242">
        <v>3</v>
      </c>
      <c r="B13" s="243" t="s">
        <v>14</v>
      </c>
      <c r="C13" s="251">
        <v>5</v>
      </c>
      <c r="D13" s="250">
        <f t="shared" si="0"/>
        <v>384</v>
      </c>
      <c r="E13" s="250">
        <f t="shared" si="0"/>
        <v>9219</v>
      </c>
      <c r="F13" s="85">
        <f t="shared" si="2"/>
        <v>114</v>
      </c>
      <c r="G13" s="85">
        <f t="shared" si="2"/>
        <v>1866</v>
      </c>
      <c r="H13" s="85">
        <f t="shared" si="2"/>
        <v>187</v>
      </c>
      <c r="I13" s="85">
        <f t="shared" si="2"/>
        <v>104</v>
      </c>
      <c r="J13" s="246">
        <v>4</v>
      </c>
      <c r="K13" s="246">
        <v>100</v>
      </c>
      <c r="L13" s="246">
        <v>11</v>
      </c>
      <c r="M13" s="246">
        <v>4</v>
      </c>
      <c r="N13" s="246">
        <v>110</v>
      </c>
      <c r="O13" s="246">
        <v>1766</v>
      </c>
      <c r="P13" s="246">
        <v>176</v>
      </c>
      <c r="Q13" s="246">
        <v>100</v>
      </c>
      <c r="R13" s="246">
        <f t="shared" si="3"/>
        <v>89</v>
      </c>
      <c r="S13" s="246">
        <f t="shared" si="4"/>
        <v>270</v>
      </c>
      <c r="T13" s="246">
        <f t="shared" si="5"/>
        <v>7353</v>
      </c>
      <c r="U13" s="246">
        <f t="shared" si="5"/>
        <v>473</v>
      </c>
      <c r="V13" s="246">
        <f t="shared" si="5"/>
        <v>265</v>
      </c>
      <c r="W13" s="246">
        <v>90</v>
      </c>
      <c r="X13" s="246">
        <v>2603</v>
      </c>
      <c r="Y13" s="246">
        <v>159</v>
      </c>
      <c r="Z13" s="246">
        <v>85</v>
      </c>
      <c r="AA13" s="246">
        <v>180</v>
      </c>
      <c r="AB13" s="246"/>
      <c r="AC13" s="246">
        <v>4750</v>
      </c>
      <c r="AD13" s="246">
        <v>314</v>
      </c>
      <c r="AE13" s="247">
        <v>180</v>
      </c>
    </row>
    <row r="14" spans="1:31" s="256" customFormat="1" ht="18" customHeight="1">
      <c r="A14" s="252">
        <v>4</v>
      </c>
      <c r="B14" s="253" t="s">
        <v>15</v>
      </c>
      <c r="C14" s="9">
        <v>6</v>
      </c>
      <c r="D14" s="250">
        <f t="shared" si="0"/>
        <v>131</v>
      </c>
      <c r="E14" s="250">
        <f t="shared" si="0"/>
        <v>3475</v>
      </c>
      <c r="F14" s="254">
        <f t="shared" si="2"/>
        <v>24</v>
      </c>
      <c r="G14" s="254">
        <f t="shared" si="2"/>
        <v>546</v>
      </c>
      <c r="H14" s="254">
        <f t="shared" si="2"/>
        <v>34</v>
      </c>
      <c r="I14" s="254">
        <f t="shared" si="2"/>
        <v>24</v>
      </c>
      <c r="J14" s="254">
        <v>2</v>
      </c>
      <c r="K14" s="254">
        <v>40</v>
      </c>
      <c r="L14" s="254">
        <v>4</v>
      </c>
      <c r="M14" s="254">
        <v>2</v>
      </c>
      <c r="N14" s="254">
        <f>16+6</f>
        <v>22</v>
      </c>
      <c r="O14" s="254">
        <v>506</v>
      </c>
      <c r="P14" s="254">
        <v>30</v>
      </c>
      <c r="Q14" s="254">
        <v>22</v>
      </c>
      <c r="R14" s="246">
        <f t="shared" si="3"/>
        <v>64</v>
      </c>
      <c r="S14" s="254">
        <f t="shared" si="4"/>
        <v>107</v>
      </c>
      <c r="T14" s="254">
        <f t="shared" si="5"/>
        <v>2929</v>
      </c>
      <c r="U14" s="254">
        <f t="shared" si="5"/>
        <v>180</v>
      </c>
      <c r="V14" s="254">
        <f t="shared" si="5"/>
        <v>96</v>
      </c>
      <c r="W14" s="254">
        <v>70</v>
      </c>
      <c r="X14" s="254">
        <v>1943</v>
      </c>
      <c r="Y14" s="254">
        <v>133</v>
      </c>
      <c r="Z14" s="254">
        <v>62</v>
      </c>
      <c r="AA14" s="254">
        <f>8+29</f>
        <v>37</v>
      </c>
      <c r="AB14" s="254"/>
      <c r="AC14" s="254">
        <v>986</v>
      </c>
      <c r="AD14" s="254">
        <f>8+39</f>
        <v>47</v>
      </c>
      <c r="AE14" s="255">
        <v>34</v>
      </c>
    </row>
    <row r="15" spans="1:31" s="86" customFormat="1" ht="18" customHeight="1">
      <c r="A15" s="248">
        <v>5</v>
      </c>
      <c r="B15" s="249" t="s">
        <v>16</v>
      </c>
      <c r="C15" s="9">
        <v>2</v>
      </c>
      <c r="D15" s="257">
        <f t="shared" si="0"/>
        <v>90</v>
      </c>
      <c r="E15" s="257">
        <f t="shared" si="0"/>
        <v>2019</v>
      </c>
      <c r="F15" s="85">
        <f t="shared" si="2"/>
        <v>5</v>
      </c>
      <c r="G15" s="85">
        <f t="shared" si="2"/>
        <v>77</v>
      </c>
      <c r="H15" s="85">
        <f t="shared" si="2"/>
        <v>8</v>
      </c>
      <c r="I15" s="85">
        <f t="shared" si="2"/>
        <v>5</v>
      </c>
      <c r="J15" s="304">
        <v>5</v>
      </c>
      <c r="K15" s="304">
        <v>77</v>
      </c>
      <c r="L15" s="304">
        <v>8</v>
      </c>
      <c r="M15" s="304">
        <v>5</v>
      </c>
      <c r="N15" s="85"/>
      <c r="O15" s="85"/>
      <c r="P15" s="85"/>
      <c r="Q15" s="85"/>
      <c r="R15" s="246">
        <f t="shared" si="3"/>
        <v>85</v>
      </c>
      <c r="S15" s="254">
        <f t="shared" si="4"/>
        <v>85</v>
      </c>
      <c r="T15" s="254">
        <f t="shared" si="5"/>
        <v>1942</v>
      </c>
      <c r="U15" s="254">
        <f t="shared" si="5"/>
        <v>123</v>
      </c>
      <c r="V15" s="254">
        <f t="shared" si="5"/>
        <v>80</v>
      </c>
      <c r="W15" s="304">
        <v>85</v>
      </c>
      <c r="X15" s="304">
        <v>1942</v>
      </c>
      <c r="Y15" s="304">
        <v>123</v>
      </c>
      <c r="Z15" s="85">
        <v>80</v>
      </c>
      <c r="AA15" s="85"/>
      <c r="AB15" s="85"/>
      <c r="AC15" s="85"/>
      <c r="AD15" s="85"/>
      <c r="AE15" s="141"/>
    </row>
    <row r="16" spans="1:31" s="86" customFormat="1" ht="15" customHeight="1">
      <c r="A16" s="248">
        <v>6</v>
      </c>
      <c r="B16" s="249" t="s">
        <v>17</v>
      </c>
      <c r="C16" s="9">
        <v>3</v>
      </c>
      <c r="D16" s="250">
        <f t="shared" si="0"/>
        <v>82</v>
      </c>
      <c r="E16" s="250">
        <f t="shared" si="0"/>
        <v>2011</v>
      </c>
      <c r="F16" s="85">
        <f t="shared" si="2"/>
        <v>5</v>
      </c>
      <c r="G16" s="85">
        <f t="shared" si="2"/>
        <v>68</v>
      </c>
      <c r="H16" s="85">
        <f t="shared" si="2"/>
        <v>8</v>
      </c>
      <c r="I16" s="85">
        <f t="shared" si="2"/>
        <v>5</v>
      </c>
      <c r="J16" s="330">
        <v>2</v>
      </c>
      <c r="K16" s="330">
        <v>33</v>
      </c>
      <c r="L16" s="330">
        <v>4</v>
      </c>
      <c r="M16" s="330">
        <v>2</v>
      </c>
      <c r="N16" s="330">
        <v>3</v>
      </c>
      <c r="O16" s="9">
        <v>35</v>
      </c>
      <c r="P16" s="9">
        <v>4</v>
      </c>
      <c r="Q16" s="9">
        <v>3</v>
      </c>
      <c r="R16" s="246">
        <f t="shared" si="3"/>
        <v>72</v>
      </c>
      <c r="S16" s="85">
        <f t="shared" si="4"/>
        <v>77</v>
      </c>
      <c r="T16" s="85">
        <f t="shared" si="5"/>
        <v>1943</v>
      </c>
      <c r="U16" s="85">
        <f t="shared" si="5"/>
        <v>129</v>
      </c>
      <c r="V16" s="85">
        <f t="shared" si="5"/>
        <v>70</v>
      </c>
      <c r="W16" s="330">
        <v>77</v>
      </c>
      <c r="X16" s="330">
        <v>1943</v>
      </c>
      <c r="Y16" s="9">
        <v>129</v>
      </c>
      <c r="Z16" s="85">
        <v>70</v>
      </c>
      <c r="AA16" s="9"/>
      <c r="AB16" s="9"/>
      <c r="AC16" s="9"/>
      <c r="AD16" s="9"/>
      <c r="AE16" s="292"/>
    </row>
    <row r="17" spans="1:31" s="86" customFormat="1" ht="16.5" customHeight="1" thickBot="1">
      <c r="A17" s="258">
        <v>7</v>
      </c>
      <c r="B17" s="259" t="s">
        <v>18</v>
      </c>
      <c r="C17" s="146">
        <v>3</v>
      </c>
      <c r="D17" s="260">
        <f t="shared" si="0"/>
        <v>172</v>
      </c>
      <c r="E17" s="260">
        <f t="shared" si="0"/>
        <v>4486</v>
      </c>
      <c r="F17" s="261">
        <f t="shared" si="2"/>
        <v>27</v>
      </c>
      <c r="G17" s="261">
        <f t="shared" si="2"/>
        <v>508</v>
      </c>
      <c r="H17" s="261">
        <f t="shared" si="2"/>
        <v>40</v>
      </c>
      <c r="I17" s="261">
        <f t="shared" si="2"/>
        <v>27</v>
      </c>
      <c r="J17" s="312">
        <v>3</v>
      </c>
      <c r="K17" s="312">
        <v>68</v>
      </c>
      <c r="L17" s="312">
        <v>5</v>
      </c>
      <c r="M17" s="312">
        <v>3</v>
      </c>
      <c r="N17" s="312">
        <v>24</v>
      </c>
      <c r="O17" s="146">
        <v>440</v>
      </c>
      <c r="P17" s="146">
        <v>35</v>
      </c>
      <c r="Q17" s="146">
        <v>24</v>
      </c>
      <c r="R17" s="246">
        <f t="shared" si="3"/>
        <v>88</v>
      </c>
      <c r="S17" s="261">
        <f t="shared" si="4"/>
        <v>145</v>
      </c>
      <c r="T17" s="261">
        <f>X17+AC17</f>
        <v>3978</v>
      </c>
      <c r="U17" s="261">
        <f>Y17+AD17</f>
        <v>238</v>
      </c>
      <c r="V17" s="261">
        <v>103</v>
      </c>
      <c r="W17" s="312">
        <v>93</v>
      </c>
      <c r="X17" s="312">
        <v>2750</v>
      </c>
      <c r="Y17" s="146">
        <v>162</v>
      </c>
      <c r="Z17" s="85">
        <v>85</v>
      </c>
      <c r="AA17" s="312">
        <v>52</v>
      </c>
      <c r="AB17" s="312">
        <v>168</v>
      </c>
      <c r="AC17" s="312">
        <v>1228</v>
      </c>
      <c r="AD17" s="312">
        <v>76</v>
      </c>
      <c r="AE17" s="313">
        <v>53</v>
      </c>
    </row>
    <row r="18" spans="1:31" s="86" customFormat="1" ht="16.5" customHeight="1">
      <c r="A18" s="472" t="s">
        <v>0</v>
      </c>
      <c r="B18" s="453" t="s">
        <v>1</v>
      </c>
      <c r="C18" s="474" t="s">
        <v>227</v>
      </c>
      <c r="D18" s="453" t="s">
        <v>123</v>
      </c>
      <c r="E18" s="453"/>
      <c r="F18" s="453"/>
      <c r="G18" s="453" t="s">
        <v>61</v>
      </c>
      <c r="H18" s="453"/>
      <c r="I18" s="453" t="s">
        <v>22</v>
      </c>
      <c r="J18" s="453"/>
      <c r="K18" s="455" t="s">
        <v>186</v>
      </c>
      <c r="L18" s="463" t="s">
        <v>145</v>
      </c>
      <c r="M18" s="464"/>
      <c r="N18" s="464"/>
      <c r="O18" s="465"/>
      <c r="P18" s="469" t="s">
        <v>143</v>
      </c>
      <c r="Q18" s="470"/>
      <c r="R18" s="470"/>
      <c r="S18" s="470"/>
      <c r="T18" s="470"/>
      <c r="U18" s="470"/>
      <c r="V18" s="471"/>
      <c r="W18" s="469" t="s">
        <v>144</v>
      </c>
      <c r="X18" s="470"/>
      <c r="Y18" s="470"/>
      <c r="Z18" s="470"/>
      <c r="AA18" s="469" t="s">
        <v>163</v>
      </c>
      <c r="AB18" s="470"/>
      <c r="AC18" s="470"/>
      <c r="AD18" s="470"/>
      <c r="AE18" s="471"/>
    </row>
    <row r="19" spans="1:31" s="5" customFormat="1" ht="15.75" customHeight="1">
      <c r="A19" s="454"/>
      <c r="B19" s="454"/>
      <c r="C19" s="474"/>
      <c r="D19" s="454"/>
      <c r="E19" s="454"/>
      <c r="F19" s="454"/>
      <c r="G19" s="454"/>
      <c r="H19" s="454"/>
      <c r="I19" s="454"/>
      <c r="J19" s="454"/>
      <c r="K19" s="456"/>
      <c r="L19" s="466"/>
      <c r="M19" s="467"/>
      <c r="N19" s="467"/>
      <c r="O19" s="468"/>
      <c r="P19" s="460" t="s">
        <v>131</v>
      </c>
      <c r="Q19" s="461"/>
      <c r="R19" s="306"/>
      <c r="S19" s="458" t="s">
        <v>132</v>
      </c>
      <c r="T19" s="461"/>
      <c r="U19" s="458" t="s">
        <v>137</v>
      </c>
      <c r="V19" s="462"/>
      <c r="W19" s="460" t="s">
        <v>142</v>
      </c>
      <c r="X19" s="461"/>
      <c r="Y19" s="458" t="s">
        <v>138</v>
      </c>
      <c r="Z19" s="459"/>
      <c r="AA19" s="476" t="s">
        <v>162</v>
      </c>
      <c r="AB19" s="477"/>
      <c r="AC19" s="477"/>
      <c r="AD19" s="477" t="s">
        <v>233</v>
      </c>
      <c r="AE19" s="478"/>
    </row>
    <row r="20" spans="1:31" s="5" customFormat="1" ht="45.75" customHeight="1" thickBot="1">
      <c r="A20" s="473"/>
      <c r="B20" s="473"/>
      <c r="C20" s="475"/>
      <c r="D20" s="67" t="s">
        <v>106</v>
      </c>
      <c r="E20" s="67" t="s">
        <v>75</v>
      </c>
      <c r="F20" s="67" t="s">
        <v>99</v>
      </c>
      <c r="G20" s="67" t="s">
        <v>75</v>
      </c>
      <c r="H20" s="67" t="s">
        <v>99</v>
      </c>
      <c r="I20" s="67" t="s">
        <v>75</v>
      </c>
      <c r="J20" s="67" t="s">
        <v>99</v>
      </c>
      <c r="K20" s="457"/>
      <c r="L20" s="72" t="s">
        <v>120</v>
      </c>
      <c r="M20" s="68" t="s">
        <v>119</v>
      </c>
      <c r="N20" s="68" t="s">
        <v>121</v>
      </c>
      <c r="O20" s="87" t="s">
        <v>118</v>
      </c>
      <c r="P20" s="72" t="s">
        <v>135</v>
      </c>
      <c r="Q20" s="68" t="s">
        <v>136</v>
      </c>
      <c r="R20" s="68"/>
      <c r="S20" s="68" t="s">
        <v>135</v>
      </c>
      <c r="T20" s="68" t="s">
        <v>136</v>
      </c>
      <c r="U20" s="68" t="s">
        <v>135</v>
      </c>
      <c r="V20" s="69" t="s">
        <v>136</v>
      </c>
      <c r="W20" s="72" t="s">
        <v>135</v>
      </c>
      <c r="X20" s="71" t="s">
        <v>136</v>
      </c>
      <c r="Y20" s="68" t="s">
        <v>135</v>
      </c>
      <c r="Z20" s="87" t="s">
        <v>136</v>
      </c>
      <c r="AA20" s="145" t="s">
        <v>158</v>
      </c>
      <c r="AB20" s="146" t="s">
        <v>136</v>
      </c>
      <c r="AC20" s="146" t="s">
        <v>159</v>
      </c>
      <c r="AD20" s="146" t="s">
        <v>160</v>
      </c>
      <c r="AE20" s="166" t="s">
        <v>161</v>
      </c>
    </row>
    <row r="21" spans="1:31" ht="18.75">
      <c r="A21" s="210">
        <v>1</v>
      </c>
      <c r="B21" s="211" t="s">
        <v>12</v>
      </c>
      <c r="C21" s="149">
        <v>30</v>
      </c>
      <c r="D21" s="212">
        <f>F21+E21</f>
        <v>11</v>
      </c>
      <c r="E21" s="170">
        <f>G21+I21</f>
        <v>10</v>
      </c>
      <c r="F21" s="170">
        <f>H21+J21</f>
        <v>1</v>
      </c>
      <c r="G21" s="170">
        <v>1</v>
      </c>
      <c r="H21" s="170"/>
      <c r="I21" s="170">
        <v>9</v>
      </c>
      <c r="J21" s="170">
        <v>1</v>
      </c>
      <c r="K21" s="170"/>
      <c r="L21" s="213">
        <v>53</v>
      </c>
      <c r="M21" s="154">
        <v>31</v>
      </c>
      <c r="N21" s="154">
        <v>12</v>
      </c>
      <c r="O21" s="214">
        <v>10</v>
      </c>
      <c r="P21" s="173">
        <f>H11+U11-U21</f>
        <v>236</v>
      </c>
      <c r="Q21" s="139">
        <f>P21/(H11+U11)</f>
        <v>0.9752066115702479</v>
      </c>
      <c r="R21" s="139"/>
      <c r="S21" s="154">
        <v>173</v>
      </c>
      <c r="T21" s="140">
        <f>S21/(H11+U11)</f>
        <v>0.7148760330578512</v>
      </c>
      <c r="U21" s="154">
        <v>6</v>
      </c>
      <c r="V21" s="215">
        <v>0</v>
      </c>
      <c r="W21" s="213">
        <v>2458</v>
      </c>
      <c r="X21" s="216">
        <v>0.998</v>
      </c>
      <c r="Y21" s="154">
        <f>X11+K11+73+154</f>
        <v>2523</v>
      </c>
      <c r="Z21" s="217">
        <f>Y21/E11</f>
        <v>0.7151360544217688</v>
      </c>
      <c r="AA21" s="213">
        <v>650</v>
      </c>
      <c r="AB21" s="154"/>
      <c r="AC21" s="154">
        <v>136</v>
      </c>
      <c r="AD21" s="154">
        <v>318</v>
      </c>
      <c r="AE21" s="155">
        <v>592</v>
      </c>
    </row>
    <row r="22" spans="1:31" ht="18.75">
      <c r="A22" s="218">
        <v>2</v>
      </c>
      <c r="B22" s="219" t="s">
        <v>13</v>
      </c>
      <c r="C22" s="9">
        <v>14</v>
      </c>
      <c r="D22" s="21">
        <f aca="true" t="shared" si="6" ref="D22:D27">F22+E22</f>
        <v>8</v>
      </c>
      <c r="E22" s="170">
        <f aca="true" t="shared" si="7" ref="E22:E27">G22+I22</f>
        <v>8</v>
      </c>
      <c r="F22" s="7">
        <f aca="true" t="shared" si="8" ref="F22:F27">H22+J22</f>
        <v>0</v>
      </c>
      <c r="G22" s="7">
        <v>2</v>
      </c>
      <c r="H22" s="7"/>
      <c r="I22" s="7">
        <v>6</v>
      </c>
      <c r="J22" s="7"/>
      <c r="K22" s="7"/>
      <c r="L22" s="61">
        <f>12+8+28</f>
        <v>48</v>
      </c>
      <c r="M22" s="12">
        <v>24</v>
      </c>
      <c r="N22" s="12">
        <v>8</v>
      </c>
      <c r="O22" s="109">
        <v>10</v>
      </c>
      <c r="P22" s="300">
        <v>114</v>
      </c>
      <c r="Q22" s="301">
        <f>P22/(H12+U12)</f>
        <v>0.8769230769230769</v>
      </c>
      <c r="R22" s="301"/>
      <c r="S22" s="12">
        <v>101</v>
      </c>
      <c r="T22" s="302">
        <f>S22/(H12+U12)</f>
        <v>0.7769230769230769</v>
      </c>
      <c r="U22" s="12"/>
      <c r="V22" s="303">
        <f>U22/S22</f>
        <v>0</v>
      </c>
      <c r="W22" s="61">
        <v>1500</v>
      </c>
      <c r="X22" s="220">
        <v>1</v>
      </c>
      <c r="Y22" s="154">
        <f>K12+X12+50</f>
        <v>1929</v>
      </c>
      <c r="Z22" s="217">
        <f>Y22/E12</f>
        <v>0.7781363453005244</v>
      </c>
      <c r="AA22" s="61">
        <v>332</v>
      </c>
      <c r="AB22" s="12"/>
      <c r="AC22" s="12">
        <v>172</v>
      </c>
      <c r="AD22" s="12">
        <v>105</v>
      </c>
      <c r="AE22" s="60">
        <v>104</v>
      </c>
    </row>
    <row r="23" spans="1:31" s="221" customFormat="1" ht="18.75">
      <c r="A23" s="150">
        <v>3</v>
      </c>
      <c r="B23" s="151" t="s">
        <v>14</v>
      </c>
      <c r="C23" s="171">
        <v>17</v>
      </c>
      <c r="D23" s="152">
        <f t="shared" si="6"/>
        <v>28</v>
      </c>
      <c r="E23" s="170">
        <f t="shared" si="7"/>
        <v>11</v>
      </c>
      <c r="F23" s="152">
        <f t="shared" si="8"/>
        <v>17</v>
      </c>
      <c r="G23" s="152">
        <v>3</v>
      </c>
      <c r="H23" s="152">
        <v>15</v>
      </c>
      <c r="I23" s="152">
        <v>8</v>
      </c>
      <c r="J23" s="152">
        <v>2</v>
      </c>
      <c r="K23" s="152"/>
      <c r="L23" s="173">
        <v>396</v>
      </c>
      <c r="M23" s="22">
        <v>45</v>
      </c>
      <c r="N23" s="22">
        <v>20</v>
      </c>
      <c r="O23" s="174">
        <v>14</v>
      </c>
      <c r="P23" s="173">
        <v>333</v>
      </c>
      <c r="Q23" s="262">
        <v>0.5107361963190185</v>
      </c>
      <c r="R23" s="262"/>
      <c r="S23" s="22">
        <v>188</v>
      </c>
      <c r="T23" s="262">
        <v>0.2883435582822086</v>
      </c>
      <c r="U23" s="22">
        <v>131</v>
      </c>
      <c r="V23" s="262">
        <v>0.200920245398773</v>
      </c>
      <c r="W23" s="173">
        <v>2842</v>
      </c>
      <c r="X23" s="176">
        <v>0.995</v>
      </c>
      <c r="Y23" s="154">
        <v>2842</v>
      </c>
      <c r="Z23" s="176">
        <v>0.995</v>
      </c>
      <c r="AA23" s="173">
        <v>81</v>
      </c>
      <c r="AB23" s="22"/>
      <c r="AC23" s="22">
        <v>63</v>
      </c>
      <c r="AD23" s="22">
        <v>145</v>
      </c>
      <c r="AE23" s="177">
        <v>108</v>
      </c>
    </row>
    <row r="24" spans="1:31" s="221" customFormat="1" ht="18.75">
      <c r="A24" s="150">
        <v>4</v>
      </c>
      <c r="B24" s="151" t="s">
        <v>15</v>
      </c>
      <c r="C24" s="171">
        <f>22-7</f>
        <v>15</v>
      </c>
      <c r="D24" s="172">
        <f t="shared" si="6"/>
        <v>14</v>
      </c>
      <c r="E24" s="170">
        <f t="shared" si="7"/>
        <v>8</v>
      </c>
      <c r="F24" s="152">
        <f t="shared" si="8"/>
        <v>6</v>
      </c>
      <c r="G24" s="152">
        <v>1</v>
      </c>
      <c r="H24" s="152">
        <v>2</v>
      </c>
      <c r="I24" s="152">
        <v>7</v>
      </c>
      <c r="J24" s="152">
        <v>4</v>
      </c>
      <c r="K24" s="152">
        <v>2</v>
      </c>
      <c r="L24" s="173">
        <v>24</v>
      </c>
      <c r="M24" s="22">
        <v>27</v>
      </c>
      <c r="N24" s="22">
        <v>9</v>
      </c>
      <c r="O24" s="174">
        <v>9</v>
      </c>
      <c r="P24" s="173">
        <f>H14+U14-U24</f>
        <v>205</v>
      </c>
      <c r="Q24" s="139">
        <f>P24/(H14+U14)</f>
        <v>0.9579439252336449</v>
      </c>
      <c r="R24" s="139"/>
      <c r="S24" s="22">
        <v>150</v>
      </c>
      <c r="T24" s="140">
        <f>S24/(H14+U14)</f>
        <v>0.7009345794392523</v>
      </c>
      <c r="U24" s="22">
        <v>9</v>
      </c>
      <c r="V24" s="175">
        <f>U24/($P24+$U24)</f>
        <v>0.04205607476635514</v>
      </c>
      <c r="W24" s="173">
        <v>1700</v>
      </c>
      <c r="X24" s="176">
        <v>0.99</v>
      </c>
      <c r="Y24" s="154">
        <f>K14+X14+569</f>
        <v>2552</v>
      </c>
      <c r="Z24" s="217">
        <f>Y24/E14</f>
        <v>0.7343884892086331</v>
      </c>
      <c r="AA24" s="173">
        <v>575</v>
      </c>
      <c r="AB24" s="22"/>
      <c r="AC24" s="22">
        <v>318</v>
      </c>
      <c r="AD24" s="22">
        <v>463</v>
      </c>
      <c r="AE24" s="177">
        <v>259</v>
      </c>
    </row>
    <row r="25" spans="1:31" s="221" customFormat="1" ht="18.75">
      <c r="A25" s="150">
        <v>5</v>
      </c>
      <c r="B25" s="151" t="s">
        <v>16</v>
      </c>
      <c r="C25" s="171">
        <v>19</v>
      </c>
      <c r="D25" s="172">
        <f t="shared" si="6"/>
        <v>9</v>
      </c>
      <c r="E25" s="170">
        <f t="shared" si="7"/>
        <v>9</v>
      </c>
      <c r="F25" s="152">
        <f t="shared" si="8"/>
        <v>0</v>
      </c>
      <c r="G25" s="152">
        <v>2</v>
      </c>
      <c r="H25" s="152"/>
      <c r="I25" s="152">
        <v>7</v>
      </c>
      <c r="J25" s="152"/>
      <c r="K25" s="152">
        <v>6</v>
      </c>
      <c r="L25" s="173">
        <v>77</v>
      </c>
      <c r="M25" s="22">
        <v>0</v>
      </c>
      <c r="N25" s="22">
        <v>2</v>
      </c>
      <c r="O25" s="174">
        <v>0</v>
      </c>
      <c r="P25" s="173">
        <f>H15+U15-U25</f>
        <v>131</v>
      </c>
      <c r="Q25" s="301">
        <f>P25/(H15+U15)</f>
        <v>1</v>
      </c>
      <c r="R25" s="301"/>
      <c r="S25" s="22">
        <v>85</v>
      </c>
      <c r="T25" s="302">
        <f>S25/(H15+U15)</f>
        <v>0.648854961832061</v>
      </c>
      <c r="U25" s="22"/>
      <c r="V25" s="305">
        <f>U25/($P25+$U25)</f>
        <v>0</v>
      </c>
      <c r="W25" s="173">
        <v>750</v>
      </c>
      <c r="X25" s="176">
        <v>1</v>
      </c>
      <c r="Y25" s="154">
        <f>E15</f>
        <v>2019</v>
      </c>
      <c r="Z25" s="263">
        <f>Y25/E15</f>
        <v>1</v>
      </c>
      <c r="AA25" s="173">
        <v>741</v>
      </c>
      <c r="AB25" s="22"/>
      <c r="AC25" s="22">
        <v>1066</v>
      </c>
      <c r="AD25" s="22">
        <v>1034</v>
      </c>
      <c r="AE25" s="177">
        <v>493</v>
      </c>
    </row>
    <row r="26" spans="1:31" s="221" customFormat="1" ht="18.75">
      <c r="A26" s="150">
        <v>6</v>
      </c>
      <c r="B26" s="151" t="s">
        <v>17</v>
      </c>
      <c r="C26" s="171">
        <v>20</v>
      </c>
      <c r="D26" s="172">
        <f>F26+E26</f>
        <v>6</v>
      </c>
      <c r="E26" s="170">
        <f t="shared" si="7"/>
        <v>6</v>
      </c>
      <c r="F26" s="152">
        <f t="shared" si="8"/>
        <v>0</v>
      </c>
      <c r="G26" s="152">
        <v>0</v>
      </c>
      <c r="H26" s="152"/>
      <c r="I26" s="152">
        <v>6</v>
      </c>
      <c r="J26" s="152"/>
      <c r="K26" s="152">
        <v>4</v>
      </c>
      <c r="L26" s="264">
        <v>46</v>
      </c>
      <c r="M26" s="265">
        <v>34</v>
      </c>
      <c r="N26" s="265">
        <v>8</v>
      </c>
      <c r="O26" s="266">
        <v>8</v>
      </c>
      <c r="P26" s="173">
        <f>H16+U16-U26</f>
        <v>137</v>
      </c>
      <c r="Q26" s="139">
        <f>P26/(H16+U16)</f>
        <v>1</v>
      </c>
      <c r="R26" s="139"/>
      <c r="S26" s="265">
        <v>94</v>
      </c>
      <c r="T26" s="140">
        <f>S26/(H16+U16)</f>
        <v>0.6861313868613139</v>
      </c>
      <c r="U26" s="265"/>
      <c r="V26" s="175">
        <f>U26/($P26+$U26)</f>
        <v>0</v>
      </c>
      <c r="W26" s="267">
        <v>976</v>
      </c>
      <c r="X26" s="268">
        <v>0.998</v>
      </c>
      <c r="Y26" s="154">
        <v>1606</v>
      </c>
      <c r="Z26" s="263">
        <f>Y26/E16</f>
        <v>0.7986076578816509</v>
      </c>
      <c r="AA26" s="173">
        <v>646</v>
      </c>
      <c r="AB26" s="22"/>
      <c r="AC26" s="22">
        <v>606</v>
      </c>
      <c r="AD26" s="22">
        <v>646</v>
      </c>
      <c r="AE26" s="177">
        <v>551</v>
      </c>
    </row>
    <row r="27" spans="1:31" s="221" customFormat="1" ht="19.5" thickBot="1">
      <c r="A27" s="222">
        <v>7</v>
      </c>
      <c r="B27" s="223" t="s">
        <v>18</v>
      </c>
      <c r="C27" s="224">
        <v>16</v>
      </c>
      <c r="D27" s="225">
        <f t="shared" si="6"/>
        <v>14</v>
      </c>
      <c r="E27" s="170">
        <f t="shared" si="7"/>
        <v>12</v>
      </c>
      <c r="F27" s="226">
        <f t="shared" si="8"/>
        <v>2</v>
      </c>
      <c r="G27" s="226">
        <v>2</v>
      </c>
      <c r="H27" s="226"/>
      <c r="I27" s="226">
        <v>10</v>
      </c>
      <c r="J27" s="226">
        <v>2</v>
      </c>
      <c r="K27" s="152">
        <v>2</v>
      </c>
      <c r="L27" s="294">
        <v>12</v>
      </c>
      <c r="M27" s="294">
        <v>4</v>
      </c>
      <c r="N27" s="294">
        <v>1</v>
      </c>
      <c r="O27" s="294">
        <v>6</v>
      </c>
      <c r="P27" s="293">
        <v>97</v>
      </c>
      <c r="Q27" s="295">
        <v>0.34035087719298246</v>
      </c>
      <c r="R27" s="295"/>
      <c r="S27" s="293">
        <v>170</v>
      </c>
      <c r="T27" s="296">
        <v>0.5964912280701754</v>
      </c>
      <c r="U27" s="293">
        <v>18</v>
      </c>
      <c r="V27" s="297">
        <v>0.06315789473684211</v>
      </c>
      <c r="W27" s="8">
        <v>1674</v>
      </c>
      <c r="X27" s="298">
        <v>1</v>
      </c>
      <c r="Y27" s="8">
        <v>1674</v>
      </c>
      <c r="Z27" s="299">
        <v>1</v>
      </c>
      <c r="AA27" s="293">
        <v>190</v>
      </c>
      <c r="AB27" s="293">
        <v>0</v>
      </c>
      <c r="AC27" s="293">
        <v>254</v>
      </c>
      <c r="AD27" s="293">
        <v>80</v>
      </c>
      <c r="AE27" s="293">
        <v>80</v>
      </c>
    </row>
    <row r="28" spans="1:31" ht="19.5" thickBot="1">
      <c r="A28" s="496" t="s">
        <v>62</v>
      </c>
      <c r="B28" s="497"/>
      <c r="C28" s="66">
        <f aca="true" t="shared" si="9" ref="C28:O28">SUM(C21:C27)</f>
        <v>131</v>
      </c>
      <c r="D28" s="66">
        <f t="shared" si="9"/>
        <v>90</v>
      </c>
      <c r="E28" s="66">
        <f t="shared" si="9"/>
        <v>64</v>
      </c>
      <c r="F28" s="66">
        <f t="shared" si="9"/>
        <v>26</v>
      </c>
      <c r="G28" s="66">
        <f t="shared" si="9"/>
        <v>11</v>
      </c>
      <c r="H28" s="66">
        <f t="shared" si="9"/>
        <v>17</v>
      </c>
      <c r="I28" s="66">
        <f t="shared" si="9"/>
        <v>53</v>
      </c>
      <c r="J28" s="66">
        <f t="shared" si="9"/>
        <v>9</v>
      </c>
      <c r="K28" s="66">
        <f t="shared" si="9"/>
        <v>14</v>
      </c>
      <c r="L28" s="64">
        <f t="shared" si="9"/>
        <v>656</v>
      </c>
      <c r="M28" s="62">
        <f t="shared" si="9"/>
        <v>165</v>
      </c>
      <c r="N28" s="62">
        <f t="shared" si="9"/>
        <v>60</v>
      </c>
      <c r="O28" s="70">
        <f t="shared" si="9"/>
        <v>57</v>
      </c>
      <c r="P28" s="64">
        <f>SUM(P21:P27)</f>
        <v>1253</v>
      </c>
      <c r="Q28" s="65">
        <f>P28/(H10+U10)</f>
        <v>0.69921875</v>
      </c>
      <c r="R28" s="65"/>
      <c r="S28" s="62">
        <f>SUM(S21:S27)</f>
        <v>961</v>
      </c>
      <c r="T28" s="65">
        <f>S28/(H10+U10)</f>
        <v>0.5362723214285714</v>
      </c>
      <c r="U28" s="62">
        <f>SUM(U21:U27)</f>
        <v>164</v>
      </c>
      <c r="V28" s="73">
        <f>U28/($P28+$U28)</f>
        <v>0.11573747353563868</v>
      </c>
      <c r="W28" s="64">
        <f>SUM(W21:W27)</f>
        <v>11900</v>
      </c>
      <c r="X28" s="178">
        <f>SUM(X21:X27)/7</f>
        <v>0.9972857142857142</v>
      </c>
      <c r="Y28" s="62">
        <f>SUM(Y21:Y27)</f>
        <v>15145</v>
      </c>
      <c r="Z28" s="88">
        <f>Y28/E10</f>
        <v>0.5564536870338391</v>
      </c>
      <c r="AA28" s="64">
        <f>SUM(AA21:AA27)</f>
        <v>3215</v>
      </c>
      <c r="AB28" s="142">
        <f>SUM(AB21:AB27)</f>
        <v>0</v>
      </c>
      <c r="AC28" s="142">
        <f>SUM(AC21:AC27)</f>
        <v>2615</v>
      </c>
      <c r="AD28" s="142">
        <f>SUM(AD21:AD27)</f>
        <v>2791</v>
      </c>
      <c r="AE28" s="143">
        <f>SUM(AE21:AE27)</f>
        <v>2187</v>
      </c>
    </row>
    <row r="29" spans="1:31" ht="18.75">
      <c r="A29" s="179"/>
      <c r="B29" s="58"/>
      <c r="C29" s="179"/>
      <c r="D29" s="107"/>
      <c r="E29" s="107"/>
      <c r="F29" s="107"/>
      <c r="G29" s="107"/>
      <c r="H29" s="107"/>
      <c r="I29" s="107"/>
      <c r="J29" s="107"/>
      <c r="K29" s="107"/>
      <c r="L29" s="82"/>
      <c r="M29" s="82"/>
      <c r="N29" s="82"/>
      <c r="O29" s="82"/>
      <c r="P29" s="82"/>
      <c r="Q29" s="227"/>
      <c r="R29" s="227"/>
      <c r="S29" s="82"/>
      <c r="T29" s="227"/>
      <c r="U29" s="82"/>
      <c r="V29" s="227"/>
      <c r="W29" s="82"/>
      <c r="X29" s="180"/>
      <c r="Y29" s="14" t="s">
        <v>318</v>
      </c>
      <c r="Z29" s="108"/>
      <c r="AA29" s="82"/>
      <c r="AB29" s="82"/>
      <c r="AC29" s="82"/>
      <c r="AD29" s="82"/>
      <c r="AE29" s="82"/>
    </row>
    <row r="30" spans="24:26" ht="18.75" hidden="1">
      <c r="X30" s="14"/>
      <c r="Y30" s="2" t="s">
        <v>63</v>
      </c>
      <c r="Z30" s="14" t="s">
        <v>318</v>
      </c>
    </row>
    <row r="31" spans="1:33" s="6" customFormat="1" ht="12.75" hidden="1">
      <c r="A31" s="56"/>
      <c r="B31" s="19" t="s">
        <v>73</v>
      </c>
      <c r="C31" s="56"/>
      <c r="D31" s="56"/>
      <c r="E31" s="56"/>
      <c r="F31" s="19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  <c r="V31" s="57"/>
      <c r="W31" s="57"/>
      <c r="X31" s="57"/>
      <c r="Y31" s="2" t="s">
        <v>64</v>
      </c>
      <c r="Z31" s="2" t="s">
        <v>63</v>
      </c>
      <c r="AA31" s="57"/>
      <c r="AB31" s="57"/>
      <c r="AC31" s="57"/>
      <c r="AD31" s="57"/>
      <c r="AE31" s="14"/>
      <c r="AF31" s="14"/>
      <c r="AG31" s="14"/>
    </row>
    <row r="32" spans="16:33" s="6" customFormat="1" ht="12.75" hidden="1">
      <c r="P32" s="56"/>
      <c r="Q32" s="56"/>
      <c r="R32" s="56"/>
      <c r="S32" s="56"/>
      <c r="T32" s="56"/>
      <c r="U32" s="14"/>
      <c r="V32" s="14"/>
      <c r="W32" s="14"/>
      <c r="Y32" s="16"/>
      <c r="Z32" s="2" t="s">
        <v>182</v>
      </c>
      <c r="AA32" s="14"/>
      <c r="AB32" s="14"/>
      <c r="AC32" s="14"/>
      <c r="AD32" s="14"/>
      <c r="AE32" s="14"/>
      <c r="AF32" s="14"/>
      <c r="AG32" s="14"/>
    </row>
    <row r="33" spans="3:33" s="6" customFormat="1" ht="12.75" hidden="1">
      <c r="C33" s="19"/>
      <c r="D33" s="19"/>
      <c r="E33" s="19"/>
      <c r="G33" s="19"/>
      <c r="P33" s="56"/>
      <c r="Q33" s="56"/>
      <c r="R33" s="56"/>
      <c r="S33" s="56"/>
      <c r="T33" s="56"/>
      <c r="U33" s="2"/>
      <c r="V33" s="2"/>
      <c r="W33" s="2"/>
      <c r="Y33" s="16"/>
      <c r="Z33" s="16"/>
      <c r="AA33" s="2"/>
      <c r="AB33" s="2"/>
      <c r="AC33" s="2"/>
      <c r="AD33" s="2"/>
      <c r="AE33" s="2"/>
      <c r="AF33" s="2"/>
      <c r="AG33" s="2"/>
    </row>
    <row r="34" spans="16:33" s="6" customFormat="1" ht="12.75" hidden="1">
      <c r="P34" s="56"/>
      <c r="Q34" s="56"/>
      <c r="R34" s="56"/>
      <c r="S34" s="56"/>
      <c r="T34" s="56"/>
      <c r="U34" s="2"/>
      <c r="V34" s="2"/>
      <c r="W34" s="2"/>
      <c r="Y34" s="16"/>
      <c r="Z34" s="16"/>
      <c r="AA34" s="2"/>
      <c r="AB34" s="2"/>
      <c r="AC34" s="2"/>
      <c r="AD34" s="2"/>
      <c r="AE34" s="2"/>
      <c r="AF34" s="2"/>
      <c r="AG34" s="2"/>
    </row>
    <row r="35" spans="16:33" s="6" customFormat="1" ht="12.75" hidden="1">
      <c r="P35" s="56"/>
      <c r="Q35" s="56"/>
      <c r="R35" s="56"/>
      <c r="S35" s="56"/>
      <c r="T35" s="56"/>
      <c r="U35" s="16"/>
      <c r="V35" s="16"/>
      <c r="W35" s="16"/>
      <c r="Z35" s="16"/>
      <c r="AA35" s="16"/>
      <c r="AB35" s="16"/>
      <c r="AC35" s="16"/>
      <c r="AD35" s="16"/>
      <c r="AE35" s="16"/>
      <c r="AF35" s="16"/>
      <c r="AG35" s="16"/>
    </row>
    <row r="36" spans="16:33" s="6" customFormat="1" ht="12.75" hidden="1">
      <c r="P36" s="56"/>
      <c r="Q36" s="82"/>
      <c r="R36" s="82"/>
      <c r="S36" s="82"/>
      <c r="T36" s="56"/>
      <c r="U36" s="16"/>
      <c r="V36" s="16"/>
      <c r="W36" s="16"/>
      <c r="AA36" s="16"/>
      <c r="AB36" s="16"/>
      <c r="AC36" s="16"/>
      <c r="AD36" s="16"/>
      <c r="AE36" s="16"/>
      <c r="AF36" s="16"/>
      <c r="AG36" s="16"/>
    </row>
    <row r="37" spans="2:25" ht="18.75" hidden="1">
      <c r="B37" s="6"/>
      <c r="Y37" s="13" t="s">
        <v>72</v>
      </c>
    </row>
    <row r="38" spans="1:27" s="169" customFormat="1" ht="18.75" hidden="1">
      <c r="A38" s="207"/>
      <c r="B38" s="14" t="s">
        <v>74</v>
      </c>
      <c r="C38" s="207"/>
      <c r="D38" s="207"/>
      <c r="E38" s="452"/>
      <c r="F38" s="452"/>
      <c r="G38" s="452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451" t="s">
        <v>72</v>
      </c>
      <c r="Z38" s="451"/>
      <c r="AA38" s="451"/>
    </row>
    <row r="39" spans="1:25" ht="18.75">
      <c r="A39" s="168"/>
      <c r="C39" s="168"/>
      <c r="D39" s="19" t="s">
        <v>73</v>
      </c>
      <c r="E39" s="168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3"/>
      <c r="Y39" s="2" t="s">
        <v>63</v>
      </c>
    </row>
    <row r="40" spans="4:25" ht="18.75">
      <c r="D40" s="6"/>
      <c r="Y40" s="2" t="s">
        <v>365</v>
      </c>
    </row>
    <row r="41" spans="4:25" ht="18.75">
      <c r="D41" s="6"/>
      <c r="Y41" s="16"/>
    </row>
    <row r="42" spans="4:25" ht="18.75">
      <c r="D42" s="6"/>
      <c r="Y42" s="16"/>
    </row>
    <row r="43" spans="4:25" ht="18.75">
      <c r="D43" s="6"/>
      <c r="Y43" s="16"/>
    </row>
    <row r="44" spans="4:25" ht="18.75">
      <c r="D44" s="14" t="s">
        <v>74</v>
      </c>
      <c r="Y44" s="13" t="s">
        <v>72</v>
      </c>
    </row>
    <row r="45" spans="4:25" ht="18.75">
      <c r="D45" s="6"/>
      <c r="Y45" s="6"/>
    </row>
  </sheetData>
  <sheetProtection/>
  <mergeCells count="37">
    <mergeCell ref="A28:B28"/>
    <mergeCell ref="A5:A8"/>
    <mergeCell ref="W6:AE6"/>
    <mergeCell ref="S6:V7"/>
    <mergeCell ref="W7:Z7"/>
    <mergeCell ref="AA7:AE7"/>
    <mergeCell ref="F5:Q5"/>
    <mergeCell ref="S5:AE5"/>
    <mergeCell ref="J6:Q6"/>
    <mergeCell ref="F6:I7"/>
    <mergeCell ref="J7:M7"/>
    <mergeCell ref="B1:J2"/>
    <mergeCell ref="K1:AE3"/>
    <mergeCell ref="B5:B8"/>
    <mergeCell ref="N7:Q7"/>
    <mergeCell ref="D5:E7"/>
    <mergeCell ref="C5:C8"/>
    <mergeCell ref="AA18:AE18"/>
    <mergeCell ref="W18:Z18"/>
    <mergeCell ref="W19:X19"/>
    <mergeCell ref="A18:A20"/>
    <mergeCell ref="B18:B20"/>
    <mergeCell ref="C18:C20"/>
    <mergeCell ref="D18:F19"/>
    <mergeCell ref="G18:H19"/>
    <mergeCell ref="AA19:AC19"/>
    <mergeCell ref="AD19:AE19"/>
    <mergeCell ref="Y38:AA38"/>
    <mergeCell ref="E38:G38"/>
    <mergeCell ref="I18:J19"/>
    <mergeCell ref="K18:K20"/>
    <mergeCell ref="Y19:Z19"/>
    <mergeCell ref="P19:Q19"/>
    <mergeCell ref="S19:T19"/>
    <mergeCell ref="U19:V19"/>
    <mergeCell ref="L18:O19"/>
    <mergeCell ref="P18:V18"/>
  </mergeCells>
  <printOptions horizontalCentered="1"/>
  <pageMargins left="0" right="0" top="0.0393700787401575" bottom="0" header="0.511811023622047" footer="0.511811023622047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M44"/>
  <sheetViews>
    <sheetView tabSelected="1" zoomScalePageLayoutView="0" workbookViewId="0" topLeftCell="A1">
      <selection activeCell="P11" sqref="P11"/>
    </sheetView>
  </sheetViews>
  <sheetFormatPr defaultColWidth="8.88671875" defaultRowHeight="18.75" outlineLevelCol="1"/>
  <cols>
    <col min="1" max="1" width="2.3359375" style="6" bestFit="1" customWidth="1"/>
    <col min="2" max="2" width="10.10546875" style="6" customWidth="1"/>
    <col min="3" max="3" width="3.99609375" style="6" customWidth="1"/>
    <col min="4" max="4" width="4.4453125" style="6" customWidth="1"/>
    <col min="5" max="5" width="5.3359375" style="6" hidden="1" customWidth="1" outlineLevel="1"/>
    <col min="6" max="6" width="3.6640625" style="6" hidden="1" customWidth="1" outlineLevel="1"/>
    <col min="7" max="7" width="4.99609375" style="6" hidden="1" customWidth="1" outlineLevel="1"/>
    <col min="8" max="8" width="4.3359375" style="6" hidden="1" customWidth="1" outlineLevel="1"/>
    <col min="9" max="9" width="5.3359375" style="6" customWidth="1" collapsed="1"/>
    <col min="10" max="10" width="5.10546875" style="6" bestFit="1" customWidth="1"/>
    <col min="11" max="11" width="4.99609375" style="6" customWidth="1"/>
    <col min="12" max="12" width="3.99609375" style="6" bestFit="1" customWidth="1"/>
    <col min="13" max="13" width="5.6640625" style="6" bestFit="1" customWidth="1"/>
    <col min="14" max="14" width="3.99609375" style="6" bestFit="1" customWidth="1"/>
    <col min="15" max="15" width="5.6640625" style="6" bestFit="1" customWidth="1"/>
    <col min="16" max="16" width="3.99609375" style="6" bestFit="1" customWidth="1"/>
    <col min="17" max="17" width="5.6640625" style="6" customWidth="1"/>
    <col min="18" max="18" width="3.99609375" style="6" bestFit="1" customWidth="1"/>
    <col min="19" max="19" width="5.5546875" style="6" customWidth="1"/>
    <col min="20" max="20" width="3.77734375" style="6" customWidth="1"/>
    <col min="21" max="21" width="2.99609375" style="6" bestFit="1" customWidth="1"/>
    <col min="22" max="22" width="3.88671875" style="6" customWidth="1"/>
    <col min="23" max="23" width="4.88671875" style="6" customWidth="1"/>
    <col min="24" max="24" width="3.4453125" style="6" customWidth="1"/>
    <col min="25" max="25" width="5.10546875" style="6" bestFit="1" customWidth="1"/>
    <col min="26" max="26" width="5.3359375" style="6" bestFit="1" customWidth="1"/>
    <col min="27" max="27" width="4.99609375" style="6" hidden="1" customWidth="1"/>
    <col min="28" max="28" width="5.10546875" style="6" customWidth="1"/>
    <col min="29" max="29" width="4.4453125" style="6" customWidth="1"/>
    <col min="30" max="30" width="4.5546875" style="6" bestFit="1" customWidth="1"/>
    <col min="31" max="31" width="3.88671875" style="6" customWidth="1"/>
    <col min="32" max="32" width="5.21484375" style="6" customWidth="1"/>
    <col min="33" max="33" width="4.99609375" style="6" customWidth="1"/>
    <col min="34" max="34" width="4.10546875" style="6" customWidth="1"/>
    <col min="35" max="35" width="4.3359375" style="6" customWidth="1"/>
    <col min="36" max="36" width="4.6640625" style="6" customWidth="1"/>
    <col min="37" max="37" width="2.88671875" style="6" customWidth="1"/>
    <col min="38" max="38" width="2.99609375" style="6" customWidth="1"/>
    <col min="39" max="16384" width="8.88671875" style="6" customWidth="1"/>
  </cols>
  <sheetData>
    <row r="1" spans="1:36" ht="18.75">
      <c r="A1" s="522" t="s">
        <v>23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Q1" s="4"/>
      <c r="R1" s="4"/>
      <c r="T1" s="17" t="s">
        <v>49</v>
      </c>
      <c r="U1" s="17"/>
      <c r="V1" s="17"/>
      <c r="W1" s="17"/>
      <c r="X1" s="1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523" t="s">
        <v>24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Q2" s="13"/>
      <c r="R2" s="13"/>
      <c r="T2" s="13" t="s">
        <v>329</v>
      </c>
      <c r="U2" s="13"/>
      <c r="V2" s="13"/>
      <c r="W2" s="13"/>
      <c r="X2" s="13"/>
      <c r="Y2" s="13"/>
      <c r="Z2" s="13"/>
      <c r="AA2" s="13"/>
      <c r="AC2" s="13"/>
      <c r="AD2" s="13"/>
      <c r="AE2" s="13"/>
      <c r="AF2" s="13"/>
      <c r="AG2" s="13" t="s">
        <v>330</v>
      </c>
      <c r="AH2" s="13"/>
      <c r="AI2" s="13"/>
      <c r="AJ2" s="13"/>
    </row>
    <row r="3" spans="1:36" ht="15.75">
      <c r="A3" s="20"/>
      <c r="B3" s="20"/>
      <c r="C3" s="20"/>
      <c r="D3" s="20"/>
      <c r="E3" s="20"/>
      <c r="F3" s="20"/>
      <c r="G3" s="20"/>
      <c r="H3" s="20"/>
      <c r="I3" s="20"/>
      <c r="J3" s="404"/>
      <c r="K3" s="404"/>
      <c r="M3" s="311"/>
      <c r="N3" s="311"/>
      <c r="Q3" s="13"/>
      <c r="R3" s="13"/>
      <c r="T3" s="13"/>
      <c r="U3" s="13"/>
      <c r="V3" s="13"/>
      <c r="W3" s="13"/>
      <c r="X3" s="13"/>
      <c r="Y3" s="13"/>
      <c r="Z3" s="13"/>
      <c r="AA3" s="13"/>
      <c r="AC3" s="13"/>
      <c r="AD3" s="13"/>
      <c r="AE3" s="13"/>
      <c r="AF3" s="13"/>
      <c r="AG3" s="13"/>
      <c r="AH3" s="13"/>
      <c r="AI3" s="13"/>
      <c r="AJ3" s="13"/>
    </row>
    <row r="4" spans="1:38" ht="16.5" customHeight="1">
      <c r="A4" s="524" t="s">
        <v>0</v>
      </c>
      <c r="B4" s="525" t="s">
        <v>41</v>
      </c>
      <c r="C4" s="506" t="s">
        <v>107</v>
      </c>
      <c r="D4" s="526" t="s">
        <v>206</v>
      </c>
      <c r="E4" s="533" t="s">
        <v>355</v>
      </c>
      <c r="F4" s="534"/>
      <c r="G4" s="533" t="s">
        <v>354</v>
      </c>
      <c r="H4" s="534"/>
      <c r="I4" s="512" t="s">
        <v>28</v>
      </c>
      <c r="J4" s="514"/>
      <c r="K4" s="458" t="s">
        <v>25</v>
      </c>
      <c r="L4" s="459"/>
      <c r="M4" s="459"/>
      <c r="N4" s="459"/>
      <c r="O4" s="459"/>
      <c r="P4" s="459"/>
      <c r="Q4" s="459"/>
      <c r="R4" s="459"/>
      <c r="S4" s="459"/>
      <c r="T4" s="461"/>
      <c r="U4" s="509" t="s">
        <v>320</v>
      </c>
      <c r="V4" s="509" t="s">
        <v>321</v>
      </c>
      <c r="W4" s="517" t="s">
        <v>130</v>
      </c>
      <c r="X4" s="517" t="s">
        <v>249</v>
      </c>
      <c r="Y4" s="529" t="s">
        <v>153</v>
      </c>
      <c r="Z4" s="530"/>
      <c r="AA4" s="517" t="s">
        <v>185</v>
      </c>
      <c r="AB4" s="512" t="s">
        <v>117</v>
      </c>
      <c r="AC4" s="513"/>
      <c r="AD4" s="513"/>
      <c r="AE4" s="514"/>
      <c r="AF4" s="477" t="s">
        <v>26</v>
      </c>
      <c r="AG4" s="477"/>
      <c r="AH4" s="458" t="s">
        <v>116</v>
      </c>
      <c r="AI4" s="461"/>
      <c r="AJ4" s="506" t="s">
        <v>27</v>
      </c>
      <c r="AK4" s="506" t="s">
        <v>322</v>
      </c>
      <c r="AL4" s="506" t="s">
        <v>323</v>
      </c>
    </row>
    <row r="5" spans="1:38" ht="24.75" customHeight="1">
      <c r="A5" s="520"/>
      <c r="B5" s="525"/>
      <c r="C5" s="507"/>
      <c r="D5" s="527"/>
      <c r="E5" s="535"/>
      <c r="F5" s="536"/>
      <c r="G5" s="535"/>
      <c r="H5" s="536"/>
      <c r="I5" s="515"/>
      <c r="J5" s="516"/>
      <c r="K5" s="458" t="s">
        <v>42</v>
      </c>
      <c r="L5" s="461"/>
      <c r="M5" s="458" t="s">
        <v>43</v>
      </c>
      <c r="N5" s="461"/>
      <c r="O5" s="458" t="s">
        <v>44</v>
      </c>
      <c r="P5" s="461"/>
      <c r="Q5" s="458" t="s">
        <v>45</v>
      </c>
      <c r="R5" s="461"/>
      <c r="S5" s="458" t="s">
        <v>46</v>
      </c>
      <c r="T5" s="461"/>
      <c r="U5" s="510"/>
      <c r="V5" s="510"/>
      <c r="W5" s="520"/>
      <c r="X5" s="518"/>
      <c r="Y5" s="531"/>
      <c r="Z5" s="532"/>
      <c r="AA5" s="518"/>
      <c r="AB5" s="515"/>
      <c r="AC5" s="470"/>
      <c r="AD5" s="470"/>
      <c r="AE5" s="516"/>
      <c r="AF5" s="477" t="s">
        <v>34</v>
      </c>
      <c r="AG5" s="477" t="s">
        <v>33</v>
      </c>
      <c r="AH5" s="477" t="s">
        <v>34</v>
      </c>
      <c r="AI5" s="477" t="s">
        <v>33</v>
      </c>
      <c r="AJ5" s="507"/>
      <c r="AK5" s="507"/>
      <c r="AL5" s="507"/>
    </row>
    <row r="6" spans="1:38" ht="39.75" customHeight="1">
      <c r="A6" s="521"/>
      <c r="B6" s="525"/>
      <c r="C6" s="508"/>
      <c r="D6" s="528"/>
      <c r="E6" s="8" t="s">
        <v>35</v>
      </c>
      <c r="F6" s="9" t="s">
        <v>36</v>
      </c>
      <c r="G6" s="8" t="s">
        <v>35</v>
      </c>
      <c r="H6" s="9" t="s">
        <v>36</v>
      </c>
      <c r="I6" s="8" t="s">
        <v>35</v>
      </c>
      <c r="J6" s="9" t="s">
        <v>36</v>
      </c>
      <c r="K6" s="8" t="s">
        <v>35</v>
      </c>
      <c r="L6" s="9" t="s">
        <v>36</v>
      </c>
      <c r="M6" s="8" t="s">
        <v>35</v>
      </c>
      <c r="N6" s="9" t="s">
        <v>36</v>
      </c>
      <c r="O6" s="8" t="s">
        <v>35</v>
      </c>
      <c r="P6" s="9" t="s">
        <v>36</v>
      </c>
      <c r="Q6" s="8" t="s">
        <v>35</v>
      </c>
      <c r="R6" s="9" t="s">
        <v>36</v>
      </c>
      <c r="S6" s="8" t="s">
        <v>35</v>
      </c>
      <c r="T6" s="9" t="s">
        <v>36</v>
      </c>
      <c r="U6" s="511"/>
      <c r="V6" s="511"/>
      <c r="W6" s="521"/>
      <c r="X6" s="519"/>
      <c r="Y6" s="9" t="s">
        <v>114</v>
      </c>
      <c r="Z6" s="9" t="s">
        <v>33</v>
      </c>
      <c r="AA6" s="519"/>
      <c r="AB6" s="8" t="s">
        <v>120</v>
      </c>
      <c r="AC6" s="8" t="s">
        <v>351</v>
      </c>
      <c r="AD6" s="8" t="s">
        <v>121</v>
      </c>
      <c r="AE6" s="8" t="s">
        <v>184</v>
      </c>
      <c r="AF6" s="477"/>
      <c r="AG6" s="477"/>
      <c r="AH6" s="477"/>
      <c r="AI6" s="477"/>
      <c r="AJ6" s="508"/>
      <c r="AK6" s="508" t="s">
        <v>322</v>
      </c>
      <c r="AL6" s="508" t="s">
        <v>323</v>
      </c>
    </row>
    <row r="7" spans="1:38" s="388" customFormat="1" ht="16.5" customHeight="1">
      <c r="A7" s="380" t="s">
        <v>102</v>
      </c>
      <c r="B7" s="381" t="s">
        <v>28</v>
      </c>
      <c r="C7" s="381">
        <f>SUM(C8:C14)</f>
        <v>77</v>
      </c>
      <c r="D7" s="382" t="s">
        <v>372</v>
      </c>
      <c r="E7" s="403">
        <f aca="true" t="shared" si="0" ref="E7:M7">SUM(E8:E16)</f>
        <v>29895</v>
      </c>
      <c r="F7" s="383">
        <f t="shared" si="0"/>
        <v>998</v>
      </c>
      <c r="G7" s="403">
        <f t="shared" si="0"/>
        <v>32861</v>
      </c>
      <c r="H7" s="383">
        <f t="shared" si="0"/>
        <v>1212</v>
      </c>
      <c r="I7" s="383">
        <f>SUM(I8:I14)</f>
        <v>62756</v>
      </c>
      <c r="J7" s="384">
        <f t="shared" si="0"/>
        <v>2237</v>
      </c>
      <c r="K7" s="383">
        <f t="shared" si="0"/>
        <v>13070</v>
      </c>
      <c r="L7" s="385">
        <f t="shared" si="0"/>
        <v>458</v>
      </c>
      <c r="M7" s="383">
        <f t="shared" si="0"/>
        <v>12682</v>
      </c>
      <c r="N7" s="384">
        <f aca="true" t="shared" si="1" ref="N7:AI7">SUM(N8:N16)</f>
        <v>455</v>
      </c>
      <c r="O7" s="383">
        <f t="shared" si="1"/>
        <v>12573</v>
      </c>
      <c r="P7" s="384">
        <f t="shared" si="1"/>
        <v>451</v>
      </c>
      <c r="Q7" s="383">
        <f t="shared" si="1"/>
        <v>13335</v>
      </c>
      <c r="R7" s="384">
        <f t="shared" si="1"/>
        <v>459</v>
      </c>
      <c r="S7" s="383">
        <f t="shared" si="1"/>
        <v>11685</v>
      </c>
      <c r="T7" s="384">
        <f t="shared" si="1"/>
        <v>414</v>
      </c>
      <c r="U7" s="386">
        <f>SUM(U8:U16)</f>
        <v>106</v>
      </c>
      <c r="V7" s="386">
        <f>SUM(V8:V16)</f>
        <v>1109</v>
      </c>
      <c r="W7" s="384">
        <f>SUM(W8:W16)</f>
        <v>30759</v>
      </c>
      <c r="X7" s="387">
        <f>SUM(X8:X16)</f>
        <v>92</v>
      </c>
      <c r="Y7" s="384">
        <f>SUM(Y8:Y16)</f>
        <v>18069</v>
      </c>
      <c r="Z7" s="384">
        <f t="shared" si="1"/>
        <v>8896</v>
      </c>
      <c r="AA7" s="384">
        <f t="shared" si="1"/>
        <v>37</v>
      </c>
      <c r="AB7" s="384">
        <f>SUM(AB8:AB16)</f>
        <v>2039</v>
      </c>
      <c r="AC7" s="384">
        <f t="shared" si="1"/>
        <v>484</v>
      </c>
      <c r="AD7" s="384">
        <f t="shared" si="1"/>
        <v>140</v>
      </c>
      <c r="AE7" s="384">
        <f t="shared" si="1"/>
        <v>19</v>
      </c>
      <c r="AF7" s="384">
        <f>SUM(AF8:AF16)</f>
        <v>3224</v>
      </c>
      <c r="AG7" s="384">
        <f t="shared" si="1"/>
        <v>2390</v>
      </c>
      <c r="AH7" s="384">
        <f t="shared" si="1"/>
        <v>255</v>
      </c>
      <c r="AI7" s="384">
        <f t="shared" si="1"/>
        <v>168</v>
      </c>
      <c r="AJ7" s="384">
        <f>SUM(AJ8:AJ16)</f>
        <v>3782</v>
      </c>
      <c r="AK7" s="386">
        <f>SUM(AK8:AK16)</f>
        <v>15</v>
      </c>
      <c r="AL7" s="386">
        <f>SUM(AL8:AL16)</f>
        <v>74</v>
      </c>
    </row>
    <row r="8" spans="1:38" s="367" customFormat="1" ht="16.5" customHeight="1">
      <c r="A8" s="359">
        <v>1</v>
      </c>
      <c r="B8" s="360" t="s">
        <v>37</v>
      </c>
      <c r="C8" s="359">
        <v>8</v>
      </c>
      <c r="D8" s="361" t="s">
        <v>366</v>
      </c>
      <c r="E8" s="361">
        <f>I8-G8</f>
        <v>690</v>
      </c>
      <c r="F8" s="369">
        <f aca="true" t="shared" si="2" ref="F8:F13">J8-H8</f>
        <v>39</v>
      </c>
      <c r="G8" s="361">
        <v>2904</v>
      </c>
      <c r="H8" s="361">
        <v>120</v>
      </c>
      <c r="I8" s="362">
        <f aca="true" t="shared" si="3" ref="I8:I14">K8+M8+O8+Q8+S8</f>
        <v>3594</v>
      </c>
      <c r="J8" s="362">
        <f aca="true" t="shared" si="4" ref="J8:J14">L8+N8+P8+R8+T8</f>
        <v>159</v>
      </c>
      <c r="K8" s="362">
        <v>743</v>
      </c>
      <c r="L8" s="362">
        <v>33</v>
      </c>
      <c r="M8" s="362">
        <v>737</v>
      </c>
      <c r="N8" s="362">
        <v>32</v>
      </c>
      <c r="O8" s="362">
        <v>698</v>
      </c>
      <c r="P8" s="362">
        <v>32</v>
      </c>
      <c r="Q8" s="362">
        <v>736</v>
      </c>
      <c r="R8" s="362">
        <v>30</v>
      </c>
      <c r="S8" s="362">
        <v>680</v>
      </c>
      <c r="T8" s="362">
        <v>32</v>
      </c>
      <c r="U8" s="362">
        <v>12</v>
      </c>
      <c r="V8" s="362">
        <v>145</v>
      </c>
      <c r="W8" s="363">
        <v>1774</v>
      </c>
      <c r="X8" s="364">
        <v>2</v>
      </c>
      <c r="Y8" s="362">
        <v>3320</v>
      </c>
      <c r="Z8" s="365">
        <v>1652</v>
      </c>
      <c r="AA8" s="360">
        <v>9</v>
      </c>
      <c r="AB8" s="366">
        <v>172</v>
      </c>
      <c r="AC8" s="366">
        <v>31</v>
      </c>
      <c r="AD8" s="360">
        <v>11</v>
      </c>
      <c r="AE8" s="359">
        <v>6</v>
      </c>
      <c r="AF8" s="362">
        <v>248</v>
      </c>
      <c r="AG8" s="362">
        <v>162</v>
      </c>
      <c r="AH8" s="362">
        <v>25</v>
      </c>
      <c r="AI8" s="362">
        <v>10</v>
      </c>
      <c r="AJ8" s="362">
        <v>292</v>
      </c>
      <c r="AK8" s="359">
        <v>0</v>
      </c>
      <c r="AL8" s="359">
        <v>1</v>
      </c>
    </row>
    <row r="9" spans="1:38" s="415" customFormat="1" ht="16.5" customHeight="1">
      <c r="A9" s="410">
        <v>2</v>
      </c>
      <c r="B9" s="407" t="s">
        <v>38</v>
      </c>
      <c r="C9" s="412">
        <v>11</v>
      </c>
      <c r="D9" s="429" t="s">
        <v>367</v>
      </c>
      <c r="E9" s="417">
        <f aca="true" t="shared" si="5" ref="E9:E14">I9-G9</f>
        <v>5784</v>
      </c>
      <c r="F9" s="416">
        <f t="shared" si="2"/>
        <v>173</v>
      </c>
      <c r="G9" s="410">
        <v>3684</v>
      </c>
      <c r="H9" s="421">
        <v>154</v>
      </c>
      <c r="I9" s="410">
        <f t="shared" si="3"/>
        <v>9468</v>
      </c>
      <c r="J9" s="410">
        <f t="shared" si="4"/>
        <v>327</v>
      </c>
      <c r="K9" s="410">
        <v>2073</v>
      </c>
      <c r="L9" s="410">
        <v>67</v>
      </c>
      <c r="M9" s="410">
        <v>1941</v>
      </c>
      <c r="N9" s="410">
        <v>68</v>
      </c>
      <c r="O9" s="410">
        <v>1774</v>
      </c>
      <c r="P9" s="410">
        <v>65</v>
      </c>
      <c r="Q9" s="410">
        <v>1931</v>
      </c>
      <c r="R9" s="410">
        <v>65</v>
      </c>
      <c r="S9" s="410">
        <v>1749</v>
      </c>
      <c r="T9" s="410">
        <v>62</v>
      </c>
      <c r="U9" s="410">
        <v>14</v>
      </c>
      <c r="V9" s="410">
        <v>171</v>
      </c>
      <c r="W9" s="410">
        <v>4568</v>
      </c>
      <c r="X9" s="410">
        <v>14</v>
      </c>
      <c r="Y9" s="410">
        <v>974</v>
      </c>
      <c r="Z9" s="414">
        <v>485</v>
      </c>
      <c r="AA9" s="410"/>
      <c r="AB9" s="410">
        <v>298</v>
      </c>
      <c r="AC9" s="410">
        <v>82</v>
      </c>
      <c r="AD9" s="410">
        <v>18</v>
      </c>
      <c r="AE9" s="406">
        <v>2</v>
      </c>
      <c r="AF9" s="410">
        <v>450</v>
      </c>
      <c r="AG9" s="410">
        <v>330</v>
      </c>
      <c r="AH9" s="410">
        <v>34</v>
      </c>
      <c r="AI9" s="410">
        <v>26</v>
      </c>
      <c r="AJ9" s="410">
        <v>560</v>
      </c>
      <c r="AK9" s="412"/>
      <c r="AL9" s="412"/>
    </row>
    <row r="10" spans="1:38" s="411" customFormat="1" ht="16.5" customHeight="1">
      <c r="A10" s="406">
        <v>3</v>
      </c>
      <c r="B10" s="407" t="s">
        <v>40</v>
      </c>
      <c r="C10" s="406">
        <v>17</v>
      </c>
      <c r="D10" s="416" t="s">
        <v>368</v>
      </c>
      <c r="E10" s="417">
        <f t="shared" si="5"/>
        <v>4261</v>
      </c>
      <c r="F10" s="416">
        <f t="shared" si="2"/>
        <v>156</v>
      </c>
      <c r="G10" s="410">
        <v>8709</v>
      </c>
      <c r="H10" s="421">
        <v>296</v>
      </c>
      <c r="I10" s="409">
        <f t="shared" si="3"/>
        <v>12970</v>
      </c>
      <c r="J10" s="409">
        <f t="shared" si="4"/>
        <v>452</v>
      </c>
      <c r="K10" s="409">
        <v>2595</v>
      </c>
      <c r="L10" s="409">
        <v>90</v>
      </c>
      <c r="M10" s="409">
        <v>2631</v>
      </c>
      <c r="N10" s="409">
        <v>94</v>
      </c>
      <c r="O10" s="409">
        <v>2672</v>
      </c>
      <c r="P10" s="409">
        <v>92</v>
      </c>
      <c r="Q10" s="409">
        <v>2673</v>
      </c>
      <c r="R10" s="409">
        <v>92</v>
      </c>
      <c r="S10" s="409">
        <v>2399</v>
      </c>
      <c r="T10" s="409">
        <v>84</v>
      </c>
      <c r="U10" s="409">
        <v>12</v>
      </c>
      <c r="V10" s="409">
        <v>207</v>
      </c>
      <c r="W10" s="409">
        <v>6283</v>
      </c>
      <c r="X10" s="418">
        <v>25</v>
      </c>
      <c r="Y10" s="409">
        <v>5256</v>
      </c>
      <c r="Z10" s="414">
        <v>2547</v>
      </c>
      <c r="AA10" s="407"/>
      <c r="AB10" s="410">
        <v>412</v>
      </c>
      <c r="AC10" s="410">
        <v>73</v>
      </c>
      <c r="AD10" s="407">
        <v>32</v>
      </c>
      <c r="AE10" s="406">
        <v>5</v>
      </c>
      <c r="AF10" s="409">
        <v>685</v>
      </c>
      <c r="AG10" s="409">
        <v>513</v>
      </c>
      <c r="AH10" s="409">
        <v>59</v>
      </c>
      <c r="AI10" s="409">
        <v>37</v>
      </c>
      <c r="AJ10" s="409">
        <v>801</v>
      </c>
      <c r="AK10" s="406">
        <v>4</v>
      </c>
      <c r="AL10" s="406">
        <v>2</v>
      </c>
    </row>
    <row r="11" spans="1:38" s="423" customFormat="1" ht="16.5" customHeight="1">
      <c r="A11" s="419">
        <v>4</v>
      </c>
      <c r="B11" s="420" t="s">
        <v>15</v>
      </c>
      <c r="C11" s="419">
        <v>13</v>
      </c>
      <c r="D11" s="421" t="s">
        <v>369</v>
      </c>
      <c r="E11" s="417">
        <f t="shared" si="5"/>
        <v>2137</v>
      </c>
      <c r="F11" s="416">
        <f t="shared" si="2"/>
        <v>77</v>
      </c>
      <c r="G11" s="410">
        <v>5337</v>
      </c>
      <c r="H11" s="421">
        <v>210</v>
      </c>
      <c r="I11" s="410">
        <f t="shared" si="3"/>
        <v>7474</v>
      </c>
      <c r="J11" s="410">
        <f t="shared" si="4"/>
        <v>287</v>
      </c>
      <c r="K11" s="410">
        <v>1589</v>
      </c>
      <c r="L11" s="410">
        <v>59</v>
      </c>
      <c r="M11" s="410">
        <v>1480</v>
      </c>
      <c r="N11" s="410">
        <v>57</v>
      </c>
      <c r="O11" s="410">
        <v>1465</v>
      </c>
      <c r="P11" s="410">
        <v>59</v>
      </c>
      <c r="Q11" s="410">
        <v>1606</v>
      </c>
      <c r="R11" s="410">
        <v>59</v>
      </c>
      <c r="S11" s="410">
        <v>1334</v>
      </c>
      <c r="T11" s="410">
        <v>53</v>
      </c>
      <c r="U11" s="410">
        <v>2</v>
      </c>
      <c r="V11" s="410">
        <v>119</v>
      </c>
      <c r="W11" s="410">
        <v>3649</v>
      </c>
      <c r="X11" s="422">
        <v>4</v>
      </c>
      <c r="Y11" s="410">
        <v>2404</v>
      </c>
      <c r="Z11" s="414">
        <v>1169</v>
      </c>
      <c r="AA11" s="420">
        <v>12</v>
      </c>
      <c r="AB11" s="410">
        <v>285</v>
      </c>
      <c r="AC11" s="410">
        <v>69</v>
      </c>
      <c r="AD11" s="420">
        <v>23</v>
      </c>
      <c r="AE11" s="419">
        <v>2</v>
      </c>
      <c r="AF11" s="410">
        <v>418</v>
      </c>
      <c r="AG11" s="410">
        <v>319</v>
      </c>
      <c r="AH11" s="410">
        <v>38</v>
      </c>
      <c r="AI11" s="410">
        <v>27</v>
      </c>
      <c r="AJ11" s="410">
        <v>474</v>
      </c>
      <c r="AK11" s="406">
        <v>3</v>
      </c>
      <c r="AL11" s="406">
        <v>10</v>
      </c>
    </row>
    <row r="12" spans="1:38" s="415" customFormat="1" ht="16.5" customHeight="1">
      <c r="A12" s="412">
        <v>5</v>
      </c>
      <c r="B12" s="413" t="s">
        <v>14</v>
      </c>
      <c r="C12" s="412">
        <v>14</v>
      </c>
      <c r="D12" s="417" t="s">
        <v>370</v>
      </c>
      <c r="E12" s="417">
        <f t="shared" si="5"/>
        <v>13373</v>
      </c>
      <c r="F12" s="416">
        <f t="shared" si="2"/>
        <v>447</v>
      </c>
      <c r="G12" s="410">
        <v>4583</v>
      </c>
      <c r="H12" s="417">
        <v>118</v>
      </c>
      <c r="I12" s="408">
        <f t="shared" si="3"/>
        <v>17956</v>
      </c>
      <c r="J12" s="408">
        <f t="shared" si="4"/>
        <v>565</v>
      </c>
      <c r="K12" s="424">
        <v>3565</v>
      </c>
      <c r="L12" s="424">
        <v>114</v>
      </c>
      <c r="M12" s="424">
        <v>3411</v>
      </c>
      <c r="N12" s="424">
        <v>109</v>
      </c>
      <c r="O12" s="424">
        <v>3597</v>
      </c>
      <c r="P12" s="424">
        <v>113</v>
      </c>
      <c r="Q12" s="424">
        <v>3991</v>
      </c>
      <c r="R12" s="424">
        <v>123</v>
      </c>
      <c r="S12" s="424">
        <v>3392</v>
      </c>
      <c r="T12" s="424">
        <v>106</v>
      </c>
      <c r="U12" s="424">
        <v>33</v>
      </c>
      <c r="V12" s="424">
        <v>180</v>
      </c>
      <c r="W12" s="424">
        <v>8666</v>
      </c>
      <c r="X12" s="425">
        <v>43</v>
      </c>
      <c r="Y12" s="424">
        <v>478</v>
      </c>
      <c r="Z12" s="426">
        <v>237</v>
      </c>
      <c r="AA12" s="427">
        <v>10</v>
      </c>
      <c r="AB12" s="424">
        <v>438</v>
      </c>
      <c r="AC12" s="424">
        <v>79</v>
      </c>
      <c r="AD12" s="427">
        <v>33</v>
      </c>
      <c r="AE12" s="428"/>
      <c r="AF12" s="426">
        <v>763</v>
      </c>
      <c r="AG12" s="426">
        <v>680</v>
      </c>
      <c r="AH12" s="426">
        <v>50</v>
      </c>
      <c r="AI12" s="426">
        <v>42</v>
      </c>
      <c r="AJ12" s="426">
        <v>875</v>
      </c>
      <c r="AK12" s="428">
        <v>7</v>
      </c>
      <c r="AL12" s="428">
        <v>33</v>
      </c>
    </row>
    <row r="13" spans="1:38" s="415" customFormat="1" ht="16.5" customHeight="1">
      <c r="A13" s="412">
        <v>6</v>
      </c>
      <c r="B13" s="413" t="s">
        <v>39</v>
      </c>
      <c r="C13" s="412">
        <v>7</v>
      </c>
      <c r="D13" s="417" t="s">
        <v>371</v>
      </c>
      <c r="E13" s="417">
        <f t="shared" si="5"/>
        <v>1092</v>
      </c>
      <c r="F13" s="416">
        <f t="shared" si="2"/>
        <v>24</v>
      </c>
      <c r="G13" s="410">
        <v>3631</v>
      </c>
      <c r="H13" s="417">
        <v>168</v>
      </c>
      <c r="I13" s="408">
        <f t="shared" si="3"/>
        <v>4723</v>
      </c>
      <c r="J13" s="408">
        <f t="shared" si="4"/>
        <v>192</v>
      </c>
      <c r="K13" s="409">
        <v>1010</v>
      </c>
      <c r="L13" s="409">
        <v>41</v>
      </c>
      <c r="M13" s="409">
        <v>1012</v>
      </c>
      <c r="N13" s="409">
        <v>41</v>
      </c>
      <c r="O13" s="409">
        <v>947</v>
      </c>
      <c r="P13" s="409">
        <v>39</v>
      </c>
      <c r="Q13" s="409">
        <v>956</v>
      </c>
      <c r="R13" s="409">
        <v>39</v>
      </c>
      <c r="S13" s="409">
        <v>798</v>
      </c>
      <c r="T13" s="409">
        <v>32</v>
      </c>
      <c r="U13" s="410">
        <v>26</v>
      </c>
      <c r="V13" s="410">
        <v>140</v>
      </c>
      <c r="W13" s="410">
        <v>2344</v>
      </c>
      <c r="X13" s="422">
        <v>2</v>
      </c>
      <c r="Y13" s="414">
        <v>3675</v>
      </c>
      <c r="Z13" s="414">
        <v>1848</v>
      </c>
      <c r="AA13" s="414">
        <v>4</v>
      </c>
      <c r="AB13" s="410">
        <v>184</v>
      </c>
      <c r="AC13" s="410">
        <v>54</v>
      </c>
      <c r="AD13" s="414">
        <v>11</v>
      </c>
      <c r="AE13" s="412">
        <v>1</v>
      </c>
      <c r="AF13" s="413">
        <v>265</v>
      </c>
      <c r="AG13" s="414">
        <v>180</v>
      </c>
      <c r="AH13" s="408">
        <v>22</v>
      </c>
      <c r="AI13" s="408">
        <v>9</v>
      </c>
      <c r="AJ13" s="408">
        <v>304</v>
      </c>
      <c r="AK13" s="406">
        <v>0</v>
      </c>
      <c r="AL13" s="406">
        <v>28</v>
      </c>
    </row>
    <row r="14" spans="1:38" s="411" customFormat="1" ht="16.5" customHeight="1">
      <c r="A14" s="406">
        <v>7</v>
      </c>
      <c r="B14" s="407" t="s">
        <v>47</v>
      </c>
      <c r="C14" s="406">
        <v>7</v>
      </c>
      <c r="D14" s="416" t="s">
        <v>324</v>
      </c>
      <c r="E14" s="417">
        <f t="shared" si="5"/>
        <v>2558</v>
      </c>
      <c r="F14" s="416">
        <f>J14-H14</f>
        <v>82</v>
      </c>
      <c r="G14" s="410">
        <v>4013</v>
      </c>
      <c r="H14" s="416">
        <v>146</v>
      </c>
      <c r="I14" s="409">
        <f t="shared" si="3"/>
        <v>6571</v>
      </c>
      <c r="J14" s="409">
        <f t="shared" si="4"/>
        <v>228</v>
      </c>
      <c r="K14" s="409">
        <v>1367</v>
      </c>
      <c r="L14" s="409">
        <v>48</v>
      </c>
      <c r="M14" s="409">
        <v>1356</v>
      </c>
      <c r="N14" s="409">
        <v>48</v>
      </c>
      <c r="O14" s="409">
        <v>1295</v>
      </c>
      <c r="P14" s="409">
        <v>45</v>
      </c>
      <c r="Q14" s="409">
        <v>1319</v>
      </c>
      <c r="R14" s="409">
        <v>46</v>
      </c>
      <c r="S14" s="409">
        <v>1234</v>
      </c>
      <c r="T14" s="409">
        <v>41</v>
      </c>
      <c r="U14" s="409">
        <v>7</v>
      </c>
      <c r="V14" s="409">
        <v>147</v>
      </c>
      <c r="W14" s="409">
        <v>3214</v>
      </c>
      <c r="X14" s="418">
        <v>2</v>
      </c>
      <c r="Y14" s="409">
        <v>1949</v>
      </c>
      <c r="Z14" s="414">
        <v>952</v>
      </c>
      <c r="AA14" s="407">
        <v>2</v>
      </c>
      <c r="AB14" s="410">
        <v>226</v>
      </c>
      <c r="AC14" s="410">
        <v>83</v>
      </c>
      <c r="AD14" s="407">
        <v>10</v>
      </c>
      <c r="AE14" s="406">
        <v>2</v>
      </c>
      <c r="AF14" s="409">
        <v>355</v>
      </c>
      <c r="AG14" s="409">
        <v>166</v>
      </c>
      <c r="AH14" s="409">
        <v>25</v>
      </c>
      <c r="AI14" s="409">
        <v>15</v>
      </c>
      <c r="AJ14" s="409">
        <v>441</v>
      </c>
      <c r="AK14" s="406">
        <v>1</v>
      </c>
      <c r="AL14" s="406">
        <v>0</v>
      </c>
    </row>
    <row r="15" spans="1:38" s="367" customFormat="1" ht="16.5" customHeight="1">
      <c r="A15" s="359"/>
      <c r="B15" s="360" t="s">
        <v>244</v>
      </c>
      <c r="C15" s="359"/>
      <c r="D15" s="370"/>
      <c r="E15" s="370"/>
      <c r="F15" s="370"/>
      <c r="G15" s="370"/>
      <c r="H15" s="370"/>
      <c r="I15" s="362">
        <f>K15+M15+O15+Q15+S15</f>
        <v>286</v>
      </c>
      <c r="J15" s="362">
        <f>L15+N15+P15+R15+T15</f>
        <v>13</v>
      </c>
      <c r="K15" s="362">
        <v>68</v>
      </c>
      <c r="L15" s="362">
        <v>3</v>
      </c>
      <c r="M15" s="362">
        <v>60</v>
      </c>
      <c r="N15" s="362">
        <v>3</v>
      </c>
      <c r="O15" s="362">
        <v>53</v>
      </c>
      <c r="P15" s="362">
        <v>3</v>
      </c>
      <c r="Q15" s="362">
        <v>52</v>
      </c>
      <c r="R15" s="362">
        <v>2</v>
      </c>
      <c r="S15" s="362">
        <v>53</v>
      </c>
      <c r="T15" s="362">
        <v>2</v>
      </c>
      <c r="U15" s="362"/>
      <c r="V15" s="362"/>
      <c r="W15" s="362">
        <v>138</v>
      </c>
      <c r="X15" s="362"/>
      <c r="Y15" s="362">
        <v>1</v>
      </c>
      <c r="Z15" s="360">
        <v>1</v>
      </c>
      <c r="AA15" s="360"/>
      <c r="AB15" s="366">
        <v>10</v>
      </c>
      <c r="AC15" s="366">
        <v>7</v>
      </c>
      <c r="AD15" s="360">
        <v>1</v>
      </c>
      <c r="AE15" s="360"/>
      <c r="AF15" s="362">
        <v>14</v>
      </c>
      <c r="AG15" s="362">
        <v>14</v>
      </c>
      <c r="AH15" s="362"/>
      <c r="AI15" s="362"/>
      <c r="AJ15" s="362">
        <v>14</v>
      </c>
      <c r="AK15" s="368"/>
      <c r="AL15" s="368"/>
    </row>
    <row r="16" spans="1:38" s="367" customFormat="1" ht="16.5" customHeight="1">
      <c r="A16" s="359"/>
      <c r="B16" s="360" t="s">
        <v>245</v>
      </c>
      <c r="C16" s="359"/>
      <c r="D16" s="370"/>
      <c r="E16" s="370"/>
      <c r="F16" s="370"/>
      <c r="G16" s="370"/>
      <c r="H16" s="370"/>
      <c r="I16" s="362">
        <f>K16+M16+O16+Q16+S16</f>
        <v>303</v>
      </c>
      <c r="J16" s="362">
        <f>L16+N16+P16+R16+T16</f>
        <v>14</v>
      </c>
      <c r="K16" s="362">
        <v>60</v>
      </c>
      <c r="L16" s="362">
        <v>3</v>
      </c>
      <c r="M16" s="362">
        <v>54</v>
      </c>
      <c r="N16" s="362">
        <v>3</v>
      </c>
      <c r="O16" s="362">
        <v>72</v>
      </c>
      <c r="P16" s="362">
        <v>3</v>
      </c>
      <c r="Q16" s="362">
        <v>71</v>
      </c>
      <c r="R16" s="362">
        <v>3</v>
      </c>
      <c r="S16" s="362">
        <v>46</v>
      </c>
      <c r="T16" s="362">
        <v>2</v>
      </c>
      <c r="U16" s="362"/>
      <c r="V16" s="362"/>
      <c r="W16" s="362">
        <v>123</v>
      </c>
      <c r="X16" s="362"/>
      <c r="Y16" s="362">
        <v>12</v>
      </c>
      <c r="Z16" s="360">
        <v>5</v>
      </c>
      <c r="AA16" s="360"/>
      <c r="AB16" s="366">
        <v>14</v>
      </c>
      <c r="AC16" s="366">
        <v>6</v>
      </c>
      <c r="AD16" s="360">
        <v>1</v>
      </c>
      <c r="AE16" s="360">
        <v>1</v>
      </c>
      <c r="AF16" s="362">
        <v>26</v>
      </c>
      <c r="AG16" s="362">
        <v>26</v>
      </c>
      <c r="AH16" s="362">
        <v>2</v>
      </c>
      <c r="AI16" s="362">
        <v>2</v>
      </c>
      <c r="AJ16" s="362">
        <v>21</v>
      </c>
      <c r="AK16" s="368"/>
      <c r="AL16" s="368"/>
    </row>
    <row r="17" spans="1:38" s="367" customFormat="1" ht="16.5" customHeight="1">
      <c r="A17" s="371" t="s">
        <v>103</v>
      </c>
      <c r="B17" s="372" t="s">
        <v>270</v>
      </c>
      <c r="C17" s="359"/>
      <c r="D17" s="370" t="s">
        <v>343</v>
      </c>
      <c r="E17" s="370"/>
      <c r="F17" s="370"/>
      <c r="G17" s="370"/>
      <c r="H17" s="370"/>
      <c r="I17" s="373">
        <f>SUM(I18:I28)</f>
        <v>3735</v>
      </c>
      <c r="J17" s="373">
        <f aca="true" t="shared" si="6" ref="J17:AJ17">SUM(J18:J28)</f>
        <v>145.83192607186413</v>
      </c>
      <c r="K17" s="373">
        <f t="shared" si="6"/>
        <v>796</v>
      </c>
      <c r="L17" s="373">
        <f t="shared" si="6"/>
        <v>30.96969696969697</v>
      </c>
      <c r="M17" s="373">
        <f t="shared" si="6"/>
        <v>736</v>
      </c>
      <c r="N17" s="373">
        <f t="shared" si="6"/>
        <v>31</v>
      </c>
      <c r="O17" s="373">
        <f t="shared" si="6"/>
        <v>703</v>
      </c>
      <c r="P17" s="373">
        <f t="shared" si="6"/>
        <v>27.921052631578945</v>
      </c>
      <c r="Q17" s="373">
        <f t="shared" si="6"/>
        <v>779</v>
      </c>
      <c r="R17" s="373">
        <f t="shared" si="6"/>
        <v>28</v>
      </c>
      <c r="S17" s="373">
        <f t="shared" si="6"/>
        <v>721</v>
      </c>
      <c r="T17" s="373">
        <f t="shared" si="6"/>
        <v>27.941176470588236</v>
      </c>
      <c r="U17" s="373">
        <f t="shared" si="6"/>
        <v>0</v>
      </c>
      <c r="V17" s="373">
        <f t="shared" si="6"/>
        <v>0</v>
      </c>
      <c r="W17" s="373">
        <f t="shared" si="6"/>
        <v>1921</v>
      </c>
      <c r="X17" s="373">
        <f t="shared" si="6"/>
        <v>1</v>
      </c>
      <c r="Y17" s="373">
        <f t="shared" si="6"/>
        <v>2713</v>
      </c>
      <c r="Z17" s="373">
        <f t="shared" si="6"/>
        <v>1369</v>
      </c>
      <c r="AA17" s="373">
        <f t="shared" si="6"/>
        <v>21</v>
      </c>
      <c r="AB17" s="373">
        <f t="shared" si="6"/>
        <v>148</v>
      </c>
      <c r="AC17" s="373">
        <f t="shared" si="6"/>
        <v>9</v>
      </c>
      <c r="AD17" s="373">
        <f t="shared" si="6"/>
        <v>9</v>
      </c>
      <c r="AE17" s="373">
        <f t="shared" si="6"/>
        <v>2</v>
      </c>
      <c r="AF17" s="373">
        <f t="shared" si="6"/>
        <v>211</v>
      </c>
      <c r="AG17" s="373">
        <f t="shared" si="6"/>
        <v>179</v>
      </c>
      <c r="AH17" s="373">
        <f t="shared" si="6"/>
        <v>10</v>
      </c>
      <c r="AI17" s="373">
        <f t="shared" si="6"/>
        <v>9</v>
      </c>
      <c r="AJ17" s="373">
        <f t="shared" si="6"/>
        <v>233</v>
      </c>
      <c r="AK17" s="360"/>
      <c r="AL17" s="360"/>
    </row>
    <row r="18" spans="1:38" s="367" customFormat="1" ht="16.5" customHeight="1">
      <c r="A18" s="359">
        <v>1</v>
      </c>
      <c r="B18" s="360" t="s">
        <v>303</v>
      </c>
      <c r="C18" s="359"/>
      <c r="D18" s="370" t="s">
        <v>352</v>
      </c>
      <c r="E18" s="370"/>
      <c r="F18" s="370"/>
      <c r="G18" s="370"/>
      <c r="H18" s="370"/>
      <c r="I18" s="362">
        <f aca="true" t="shared" si="7" ref="I18:J21">K18+M18+O18+Q18+S18</f>
        <v>301</v>
      </c>
      <c r="J18" s="362">
        <f t="shared" si="7"/>
        <v>10</v>
      </c>
      <c r="K18" s="362">
        <v>52</v>
      </c>
      <c r="L18" s="362">
        <v>2</v>
      </c>
      <c r="M18" s="362">
        <v>54</v>
      </c>
      <c r="N18" s="362">
        <v>2</v>
      </c>
      <c r="O18" s="362">
        <v>69</v>
      </c>
      <c r="P18" s="362">
        <v>2</v>
      </c>
      <c r="Q18" s="362">
        <v>68</v>
      </c>
      <c r="R18" s="362">
        <v>2</v>
      </c>
      <c r="S18" s="362">
        <v>58</v>
      </c>
      <c r="T18" s="362">
        <v>2</v>
      </c>
      <c r="U18" s="362"/>
      <c r="V18" s="362"/>
      <c r="W18" s="362">
        <v>159</v>
      </c>
      <c r="X18" s="362"/>
      <c r="Y18" s="362"/>
      <c r="Z18" s="360"/>
      <c r="AA18" s="360"/>
      <c r="AB18" s="362">
        <v>7</v>
      </c>
      <c r="AC18" s="360"/>
      <c r="AD18" s="360">
        <v>1</v>
      </c>
      <c r="AE18" s="360"/>
      <c r="AF18" s="362">
        <v>12</v>
      </c>
      <c r="AG18" s="362">
        <v>12</v>
      </c>
      <c r="AH18" s="362">
        <v>1</v>
      </c>
      <c r="AI18" s="362">
        <v>1</v>
      </c>
      <c r="AJ18" s="362">
        <v>14</v>
      </c>
      <c r="AK18" s="360"/>
      <c r="AL18" s="360"/>
    </row>
    <row r="19" spans="1:38" s="367" customFormat="1" ht="16.5" customHeight="1">
      <c r="A19" s="359">
        <v>2</v>
      </c>
      <c r="B19" s="360" t="s">
        <v>304</v>
      </c>
      <c r="C19" s="359"/>
      <c r="D19" s="370" t="s">
        <v>352</v>
      </c>
      <c r="E19" s="370"/>
      <c r="F19" s="370"/>
      <c r="G19" s="370"/>
      <c r="H19" s="370"/>
      <c r="I19" s="362">
        <f t="shared" si="7"/>
        <v>758</v>
      </c>
      <c r="J19" s="362">
        <f t="shared" si="7"/>
        <v>21.83192607186415</v>
      </c>
      <c r="K19" s="362">
        <v>153</v>
      </c>
      <c r="L19" s="362">
        <v>4.96969696969697</v>
      </c>
      <c r="M19" s="362">
        <v>157</v>
      </c>
      <c r="N19" s="362">
        <v>5</v>
      </c>
      <c r="O19" s="362">
        <v>142</v>
      </c>
      <c r="P19" s="362">
        <v>3.9210526315789473</v>
      </c>
      <c r="Q19" s="362">
        <v>152</v>
      </c>
      <c r="R19" s="362">
        <v>4</v>
      </c>
      <c r="S19" s="362">
        <v>154</v>
      </c>
      <c r="T19" s="362">
        <v>3.9411764705882355</v>
      </c>
      <c r="U19" s="362"/>
      <c r="V19" s="362"/>
      <c r="W19" s="362">
        <v>369</v>
      </c>
      <c r="X19" s="362"/>
      <c r="Y19" s="362">
        <v>751</v>
      </c>
      <c r="Z19" s="374">
        <v>365</v>
      </c>
      <c r="AA19" s="360"/>
      <c r="AB19" s="362">
        <v>24</v>
      </c>
      <c r="AC19" s="360">
        <v>4</v>
      </c>
      <c r="AD19" s="360">
        <v>1</v>
      </c>
      <c r="AE19" s="360"/>
      <c r="AF19" s="362">
        <v>33</v>
      </c>
      <c r="AG19" s="362">
        <v>25</v>
      </c>
      <c r="AH19" s="362">
        <v>1</v>
      </c>
      <c r="AI19" s="362">
        <v>1</v>
      </c>
      <c r="AJ19" s="362">
        <v>36</v>
      </c>
      <c r="AK19" s="360"/>
      <c r="AL19" s="360"/>
    </row>
    <row r="20" spans="1:38" s="367" customFormat="1" ht="16.5" customHeight="1">
      <c r="A20" s="359">
        <v>3</v>
      </c>
      <c r="B20" s="360" t="s">
        <v>305</v>
      </c>
      <c r="C20" s="359"/>
      <c r="D20" s="370" t="s">
        <v>352</v>
      </c>
      <c r="E20" s="370"/>
      <c r="F20" s="370"/>
      <c r="G20" s="370"/>
      <c r="H20" s="370"/>
      <c r="I20" s="362">
        <f t="shared" si="7"/>
        <v>345</v>
      </c>
      <c r="J20" s="362">
        <f t="shared" si="7"/>
        <v>15</v>
      </c>
      <c r="K20" s="362">
        <v>68</v>
      </c>
      <c r="L20" s="362">
        <v>3</v>
      </c>
      <c r="M20" s="362">
        <v>72</v>
      </c>
      <c r="N20" s="362">
        <v>3</v>
      </c>
      <c r="O20" s="362">
        <v>63</v>
      </c>
      <c r="P20" s="362">
        <v>3</v>
      </c>
      <c r="Q20" s="362">
        <v>68</v>
      </c>
      <c r="R20" s="362">
        <v>3</v>
      </c>
      <c r="S20" s="362">
        <v>74</v>
      </c>
      <c r="T20" s="362">
        <v>3</v>
      </c>
      <c r="U20" s="362"/>
      <c r="V20" s="362"/>
      <c r="W20" s="362">
        <v>178</v>
      </c>
      <c r="X20" s="362"/>
      <c r="Y20" s="362">
        <v>7</v>
      </c>
      <c r="Z20" s="360">
        <v>2</v>
      </c>
      <c r="AA20" s="360"/>
      <c r="AB20" s="362">
        <v>15</v>
      </c>
      <c r="AC20" s="360">
        <v>2</v>
      </c>
      <c r="AD20" s="360">
        <v>1</v>
      </c>
      <c r="AE20" s="360"/>
      <c r="AF20" s="362">
        <v>23</v>
      </c>
      <c r="AG20" s="362">
        <v>15</v>
      </c>
      <c r="AH20" s="362">
        <v>1</v>
      </c>
      <c r="AI20" s="362"/>
      <c r="AJ20" s="362">
        <v>27</v>
      </c>
      <c r="AK20" s="360"/>
      <c r="AL20" s="360"/>
    </row>
    <row r="21" spans="1:38" s="367" customFormat="1" ht="16.5" customHeight="1">
      <c r="A21" s="359">
        <v>4</v>
      </c>
      <c r="B21" s="360" t="s">
        <v>307</v>
      </c>
      <c r="C21" s="359"/>
      <c r="D21" s="370" t="s">
        <v>352</v>
      </c>
      <c r="E21" s="370"/>
      <c r="F21" s="370"/>
      <c r="G21" s="370"/>
      <c r="H21" s="370"/>
      <c r="I21" s="362">
        <f t="shared" si="7"/>
        <v>204</v>
      </c>
      <c r="J21" s="362">
        <f t="shared" si="7"/>
        <v>10</v>
      </c>
      <c r="K21" s="375">
        <v>42</v>
      </c>
      <c r="L21" s="375">
        <v>2</v>
      </c>
      <c r="M21" s="375">
        <v>34</v>
      </c>
      <c r="N21" s="375">
        <v>2</v>
      </c>
      <c r="O21" s="375">
        <v>38</v>
      </c>
      <c r="P21" s="375">
        <v>2</v>
      </c>
      <c r="Q21" s="375">
        <v>44</v>
      </c>
      <c r="R21" s="375">
        <v>2</v>
      </c>
      <c r="S21" s="375">
        <v>46</v>
      </c>
      <c r="T21" s="375">
        <v>2</v>
      </c>
      <c r="U21" s="375"/>
      <c r="V21" s="375"/>
      <c r="W21" s="362">
        <v>99</v>
      </c>
      <c r="X21" s="375"/>
      <c r="Y21" s="375">
        <v>199</v>
      </c>
      <c r="Z21" s="375">
        <v>97</v>
      </c>
      <c r="AA21" s="375">
        <v>10</v>
      </c>
      <c r="AB21" s="362">
        <v>10</v>
      </c>
      <c r="AC21" s="375">
        <v>1</v>
      </c>
      <c r="AD21" s="375">
        <v>1</v>
      </c>
      <c r="AE21" s="375">
        <v>1</v>
      </c>
      <c r="AF21" s="375">
        <v>16</v>
      </c>
      <c r="AG21" s="375">
        <v>14</v>
      </c>
      <c r="AH21" s="375">
        <v>1</v>
      </c>
      <c r="AI21" s="375">
        <v>1</v>
      </c>
      <c r="AJ21" s="375">
        <v>17</v>
      </c>
      <c r="AK21" s="360"/>
      <c r="AL21" s="360"/>
    </row>
    <row r="22" spans="1:38" s="367" customFormat="1" ht="16.5" customHeight="1">
      <c r="A22" s="359">
        <v>5</v>
      </c>
      <c r="B22" s="360" t="s">
        <v>306</v>
      </c>
      <c r="C22" s="359"/>
      <c r="D22" s="370" t="s">
        <v>352</v>
      </c>
      <c r="E22" s="370"/>
      <c r="F22" s="370"/>
      <c r="G22" s="370"/>
      <c r="H22" s="370"/>
      <c r="I22" s="362">
        <f aca="true" t="shared" si="8" ref="I22:J27">K22+M22+O22+Q22+S22</f>
        <v>247</v>
      </c>
      <c r="J22" s="362">
        <f t="shared" si="8"/>
        <v>10</v>
      </c>
      <c r="K22" s="375">
        <v>60</v>
      </c>
      <c r="L22" s="375">
        <v>2</v>
      </c>
      <c r="M22" s="375">
        <v>54</v>
      </c>
      <c r="N22" s="375">
        <v>2</v>
      </c>
      <c r="O22" s="375">
        <v>40</v>
      </c>
      <c r="P22" s="375">
        <v>2</v>
      </c>
      <c r="Q22" s="375">
        <v>52</v>
      </c>
      <c r="R22" s="375">
        <v>2</v>
      </c>
      <c r="S22" s="375">
        <v>41</v>
      </c>
      <c r="T22" s="375">
        <v>2</v>
      </c>
      <c r="U22" s="375"/>
      <c r="V22" s="375"/>
      <c r="W22" s="362">
        <v>119</v>
      </c>
      <c r="X22" s="375"/>
      <c r="Y22" s="375">
        <v>218</v>
      </c>
      <c r="Z22" s="375">
        <v>104</v>
      </c>
      <c r="AA22" s="375">
        <v>10</v>
      </c>
      <c r="AB22" s="362">
        <v>10</v>
      </c>
      <c r="AC22" s="375">
        <v>2</v>
      </c>
      <c r="AD22" s="375">
        <v>1</v>
      </c>
      <c r="AE22" s="375"/>
      <c r="AF22" s="375">
        <v>19</v>
      </c>
      <c r="AG22" s="375">
        <v>16</v>
      </c>
      <c r="AH22" s="375">
        <v>1</v>
      </c>
      <c r="AI22" s="375">
        <v>1</v>
      </c>
      <c r="AJ22" s="375">
        <v>21</v>
      </c>
      <c r="AK22" s="360"/>
      <c r="AL22" s="360"/>
    </row>
    <row r="23" spans="1:38" s="367" customFormat="1" ht="16.5" customHeight="1">
      <c r="A23" s="359">
        <v>6</v>
      </c>
      <c r="B23" s="360" t="s">
        <v>340</v>
      </c>
      <c r="C23" s="359"/>
      <c r="D23" s="370" t="s">
        <v>352</v>
      </c>
      <c r="E23" s="370"/>
      <c r="F23" s="370"/>
      <c r="G23" s="370"/>
      <c r="H23" s="370"/>
      <c r="I23" s="362">
        <f>K23+M23+O23+Q23+S23</f>
        <v>211</v>
      </c>
      <c r="J23" s="362">
        <f>L23+N23+P23+R23+T23</f>
        <v>10</v>
      </c>
      <c r="K23" s="375">
        <v>39</v>
      </c>
      <c r="L23" s="375">
        <v>2</v>
      </c>
      <c r="M23" s="375">
        <v>42</v>
      </c>
      <c r="N23" s="375">
        <v>2</v>
      </c>
      <c r="O23" s="375">
        <v>40</v>
      </c>
      <c r="P23" s="375">
        <v>2</v>
      </c>
      <c r="Q23" s="375">
        <v>54</v>
      </c>
      <c r="R23" s="375">
        <v>2</v>
      </c>
      <c r="S23" s="375">
        <v>36</v>
      </c>
      <c r="T23" s="375">
        <v>2</v>
      </c>
      <c r="U23" s="375"/>
      <c r="V23" s="375"/>
      <c r="W23" s="362">
        <v>110</v>
      </c>
      <c r="X23" s="375"/>
      <c r="Y23" s="375">
        <v>211</v>
      </c>
      <c r="Z23" s="375">
        <v>110</v>
      </c>
      <c r="AA23" s="375"/>
      <c r="AB23" s="362"/>
      <c r="AC23" s="375"/>
      <c r="AD23" s="375"/>
      <c r="AE23" s="375"/>
      <c r="AF23" s="375">
        <v>14</v>
      </c>
      <c r="AG23" s="375">
        <v>14</v>
      </c>
      <c r="AH23" s="375"/>
      <c r="AI23" s="375"/>
      <c r="AJ23" s="375">
        <v>16</v>
      </c>
      <c r="AK23" s="360"/>
      <c r="AL23" s="360"/>
    </row>
    <row r="24" spans="1:38" s="367" customFormat="1" ht="16.5" customHeight="1">
      <c r="A24" s="359">
        <v>7</v>
      </c>
      <c r="B24" s="360" t="s">
        <v>308</v>
      </c>
      <c r="C24" s="359"/>
      <c r="D24" s="370" t="s">
        <v>352</v>
      </c>
      <c r="E24" s="370"/>
      <c r="F24" s="370"/>
      <c r="G24" s="370"/>
      <c r="H24" s="370"/>
      <c r="I24" s="362">
        <f t="shared" si="8"/>
        <v>159</v>
      </c>
      <c r="J24" s="362">
        <f t="shared" si="8"/>
        <v>7</v>
      </c>
      <c r="K24" s="362">
        <v>32</v>
      </c>
      <c r="L24" s="362">
        <v>1</v>
      </c>
      <c r="M24" s="362">
        <v>27</v>
      </c>
      <c r="N24" s="362">
        <v>1</v>
      </c>
      <c r="O24" s="362">
        <v>39</v>
      </c>
      <c r="P24" s="362">
        <v>2</v>
      </c>
      <c r="Q24" s="362">
        <v>39</v>
      </c>
      <c r="R24" s="362">
        <v>2</v>
      </c>
      <c r="S24" s="362">
        <v>22</v>
      </c>
      <c r="T24" s="362">
        <v>1</v>
      </c>
      <c r="U24" s="362"/>
      <c r="V24" s="362"/>
      <c r="W24" s="362">
        <v>76</v>
      </c>
      <c r="X24" s="362"/>
      <c r="Y24" s="362">
        <v>126</v>
      </c>
      <c r="Z24" s="374">
        <v>68</v>
      </c>
      <c r="AA24" s="360"/>
      <c r="AB24" s="362">
        <v>7</v>
      </c>
      <c r="AC24" s="360"/>
      <c r="AD24" s="360">
        <v>1</v>
      </c>
      <c r="AE24" s="360"/>
      <c r="AF24" s="362">
        <v>10</v>
      </c>
      <c r="AG24" s="362">
        <v>8</v>
      </c>
      <c r="AH24" s="362">
        <v>1</v>
      </c>
      <c r="AI24" s="362">
        <v>1</v>
      </c>
      <c r="AJ24" s="362">
        <v>12</v>
      </c>
      <c r="AK24" s="360"/>
      <c r="AL24" s="360"/>
    </row>
    <row r="25" spans="1:38" s="367" customFormat="1" ht="16.5" customHeight="1">
      <c r="A25" s="359">
        <v>8</v>
      </c>
      <c r="B25" s="360" t="s">
        <v>309</v>
      </c>
      <c r="C25" s="359"/>
      <c r="D25" s="370" t="s">
        <v>352</v>
      </c>
      <c r="E25" s="370"/>
      <c r="F25" s="370"/>
      <c r="G25" s="370"/>
      <c r="H25" s="370"/>
      <c r="I25" s="362">
        <f t="shared" si="8"/>
        <v>272</v>
      </c>
      <c r="J25" s="362">
        <f t="shared" si="8"/>
        <v>16</v>
      </c>
      <c r="K25" s="362">
        <v>72</v>
      </c>
      <c r="L25" s="362">
        <v>4</v>
      </c>
      <c r="M25" s="362">
        <v>58</v>
      </c>
      <c r="N25" s="362">
        <v>4</v>
      </c>
      <c r="O25" s="362">
        <v>62</v>
      </c>
      <c r="P25" s="362">
        <v>3</v>
      </c>
      <c r="Q25" s="362">
        <v>38</v>
      </c>
      <c r="R25" s="362">
        <v>2</v>
      </c>
      <c r="S25" s="362">
        <v>42</v>
      </c>
      <c r="T25" s="362">
        <v>3</v>
      </c>
      <c r="U25" s="362"/>
      <c r="V25" s="362"/>
      <c r="W25" s="362">
        <v>156</v>
      </c>
      <c r="X25" s="362"/>
      <c r="Y25" s="362">
        <v>272</v>
      </c>
      <c r="Z25" s="374">
        <v>156</v>
      </c>
      <c r="AA25" s="360"/>
      <c r="AB25" s="362">
        <v>17</v>
      </c>
      <c r="AC25" s="360"/>
      <c r="AD25" s="360">
        <v>1</v>
      </c>
      <c r="AE25" s="360"/>
      <c r="AF25" s="362">
        <v>20</v>
      </c>
      <c r="AG25" s="362">
        <v>14</v>
      </c>
      <c r="AH25" s="362">
        <v>1</v>
      </c>
      <c r="AI25" s="362">
        <v>1</v>
      </c>
      <c r="AJ25" s="362">
        <v>22</v>
      </c>
      <c r="AK25" s="360"/>
      <c r="AL25" s="360"/>
    </row>
    <row r="26" spans="1:38" s="367" customFormat="1" ht="16.5" customHeight="1">
      <c r="A26" s="359">
        <v>9</v>
      </c>
      <c r="B26" s="360" t="s">
        <v>310</v>
      </c>
      <c r="C26" s="359"/>
      <c r="D26" s="370" t="s">
        <v>353</v>
      </c>
      <c r="E26" s="370"/>
      <c r="F26" s="370"/>
      <c r="G26" s="370"/>
      <c r="H26" s="370"/>
      <c r="I26" s="362">
        <f t="shared" si="8"/>
        <v>415</v>
      </c>
      <c r="J26" s="362">
        <f t="shared" si="8"/>
        <v>19</v>
      </c>
      <c r="K26" s="362">
        <v>79</v>
      </c>
      <c r="L26" s="362">
        <v>4</v>
      </c>
      <c r="M26" s="362">
        <v>78</v>
      </c>
      <c r="N26" s="362">
        <v>4</v>
      </c>
      <c r="O26" s="362">
        <v>63</v>
      </c>
      <c r="P26" s="362">
        <v>3</v>
      </c>
      <c r="Q26" s="362">
        <v>106</v>
      </c>
      <c r="R26" s="362">
        <v>4</v>
      </c>
      <c r="S26" s="362">
        <v>89</v>
      </c>
      <c r="T26" s="362">
        <v>4</v>
      </c>
      <c r="U26" s="362"/>
      <c r="V26" s="362"/>
      <c r="W26" s="362">
        <v>201</v>
      </c>
      <c r="X26" s="362"/>
      <c r="Y26" s="362">
        <v>40</v>
      </c>
      <c r="Z26" s="362">
        <v>21</v>
      </c>
      <c r="AA26" s="362"/>
      <c r="AB26" s="362">
        <v>20</v>
      </c>
      <c r="AC26" s="362"/>
      <c r="AD26" s="362">
        <v>1</v>
      </c>
      <c r="AE26" s="362">
        <v>1</v>
      </c>
      <c r="AF26" s="362">
        <v>28</v>
      </c>
      <c r="AG26" s="362">
        <v>27</v>
      </c>
      <c r="AH26" s="362">
        <v>2</v>
      </c>
      <c r="AI26" s="362">
        <v>2</v>
      </c>
      <c r="AJ26" s="362">
        <v>30</v>
      </c>
      <c r="AK26" s="360"/>
      <c r="AL26" s="360"/>
    </row>
    <row r="27" spans="1:38" s="367" customFormat="1" ht="16.5" customHeight="1">
      <c r="A27" s="359">
        <v>10</v>
      </c>
      <c r="B27" s="360" t="s">
        <v>311</v>
      </c>
      <c r="C27" s="359"/>
      <c r="D27" s="370" t="s">
        <v>299</v>
      </c>
      <c r="E27" s="370"/>
      <c r="F27" s="370"/>
      <c r="G27" s="370"/>
      <c r="H27" s="370"/>
      <c r="I27" s="362">
        <f t="shared" si="8"/>
        <v>749</v>
      </c>
      <c r="J27" s="362">
        <f t="shared" si="8"/>
        <v>22</v>
      </c>
      <c r="K27" s="362">
        <v>189</v>
      </c>
      <c r="L27" s="362">
        <v>5</v>
      </c>
      <c r="M27" s="362">
        <v>150</v>
      </c>
      <c r="N27" s="362">
        <v>5</v>
      </c>
      <c r="O27" s="362">
        <v>135</v>
      </c>
      <c r="P27" s="362">
        <v>4</v>
      </c>
      <c r="Q27" s="362">
        <v>144</v>
      </c>
      <c r="R27" s="362">
        <v>4</v>
      </c>
      <c r="S27" s="362">
        <v>131</v>
      </c>
      <c r="T27" s="362">
        <v>4</v>
      </c>
      <c r="U27" s="362"/>
      <c r="V27" s="362"/>
      <c r="W27" s="362">
        <v>380</v>
      </c>
      <c r="X27" s="362">
        <v>1</v>
      </c>
      <c r="Y27" s="362">
        <v>735</v>
      </c>
      <c r="Z27" s="362">
        <v>372</v>
      </c>
      <c r="AA27" s="362">
        <v>1</v>
      </c>
      <c r="AB27" s="362">
        <v>33</v>
      </c>
      <c r="AC27" s="362"/>
      <c r="AD27" s="362">
        <v>1</v>
      </c>
      <c r="AE27" s="362"/>
      <c r="AF27" s="362">
        <v>29</v>
      </c>
      <c r="AG27" s="362">
        <v>28</v>
      </c>
      <c r="AH27" s="362">
        <v>1</v>
      </c>
      <c r="AI27" s="362">
        <v>1</v>
      </c>
      <c r="AJ27" s="362">
        <v>30</v>
      </c>
      <c r="AK27" s="360"/>
      <c r="AL27" s="360"/>
    </row>
    <row r="28" spans="1:38" s="367" customFormat="1" ht="16.5" customHeight="1">
      <c r="A28" s="359">
        <v>11</v>
      </c>
      <c r="B28" s="360" t="s">
        <v>332</v>
      </c>
      <c r="C28" s="359"/>
      <c r="D28" s="370" t="s">
        <v>299</v>
      </c>
      <c r="E28" s="370"/>
      <c r="F28" s="370"/>
      <c r="G28" s="370"/>
      <c r="H28" s="370"/>
      <c r="I28" s="362">
        <f>K28+M28+O28+Q28+S28</f>
        <v>74</v>
      </c>
      <c r="J28" s="362">
        <f>L28+N28+P28+R28+T28</f>
        <v>5</v>
      </c>
      <c r="K28" s="362">
        <v>10</v>
      </c>
      <c r="L28" s="362">
        <v>1</v>
      </c>
      <c r="M28" s="362">
        <v>10</v>
      </c>
      <c r="N28" s="362">
        <v>1</v>
      </c>
      <c r="O28" s="362">
        <v>12</v>
      </c>
      <c r="P28" s="362">
        <v>1</v>
      </c>
      <c r="Q28" s="362">
        <v>14</v>
      </c>
      <c r="R28" s="362">
        <v>1</v>
      </c>
      <c r="S28" s="362">
        <v>28</v>
      </c>
      <c r="T28" s="362">
        <v>1</v>
      </c>
      <c r="U28" s="362"/>
      <c r="V28" s="362"/>
      <c r="W28" s="362">
        <v>74</v>
      </c>
      <c r="X28" s="362"/>
      <c r="Y28" s="362">
        <v>154</v>
      </c>
      <c r="Z28" s="362">
        <v>74</v>
      </c>
      <c r="AA28" s="362"/>
      <c r="AB28" s="362">
        <v>5</v>
      </c>
      <c r="AC28" s="362"/>
      <c r="AD28" s="362"/>
      <c r="AE28" s="362"/>
      <c r="AF28" s="362">
        <v>7</v>
      </c>
      <c r="AG28" s="362">
        <v>6</v>
      </c>
      <c r="AH28" s="362"/>
      <c r="AI28" s="362"/>
      <c r="AJ28" s="362">
        <v>8</v>
      </c>
      <c r="AK28" s="360"/>
      <c r="AL28" s="360"/>
    </row>
    <row r="29" spans="1:38" s="367" customFormat="1" ht="16.5" customHeight="1">
      <c r="A29" s="371" t="s">
        <v>104</v>
      </c>
      <c r="B29" s="372" t="s">
        <v>101</v>
      </c>
      <c r="C29" s="371" t="s">
        <v>110</v>
      </c>
      <c r="D29" s="376" t="s">
        <v>342</v>
      </c>
      <c r="E29" s="376"/>
      <c r="F29" s="376"/>
      <c r="G29" s="376"/>
      <c r="H29" s="376"/>
      <c r="I29" s="377">
        <f>SUM(I30:I32)</f>
        <v>660</v>
      </c>
      <c r="J29" s="377">
        <f>SUM(J30:J32)</f>
        <v>28</v>
      </c>
      <c r="K29" s="377">
        <f aca="true" t="shared" si="9" ref="K29:Z29">SUM(K30:K32)</f>
        <v>115</v>
      </c>
      <c r="L29" s="377">
        <f t="shared" si="9"/>
        <v>5</v>
      </c>
      <c r="M29" s="377">
        <f t="shared" si="9"/>
        <v>140</v>
      </c>
      <c r="N29" s="377">
        <f>SUM(N30:N32)</f>
        <v>5</v>
      </c>
      <c r="O29" s="377">
        <f t="shared" si="9"/>
        <v>136</v>
      </c>
      <c r="P29" s="377">
        <f t="shared" si="9"/>
        <v>6</v>
      </c>
      <c r="Q29" s="377">
        <f t="shared" si="9"/>
        <v>120</v>
      </c>
      <c r="R29" s="377">
        <f t="shared" si="9"/>
        <v>5</v>
      </c>
      <c r="S29" s="377">
        <f t="shared" si="9"/>
        <v>149</v>
      </c>
      <c r="T29" s="377">
        <f t="shared" si="9"/>
        <v>7</v>
      </c>
      <c r="U29" s="377"/>
      <c r="V29" s="377"/>
      <c r="W29" s="377">
        <f t="shared" si="9"/>
        <v>323</v>
      </c>
      <c r="X29" s="377"/>
      <c r="Y29" s="377">
        <f t="shared" si="9"/>
        <v>458</v>
      </c>
      <c r="Z29" s="377">
        <f t="shared" si="9"/>
        <v>283</v>
      </c>
      <c r="AA29" s="377">
        <f aca="true" t="shared" si="10" ref="AA29:AJ29">SUM(AA30:AA32)</f>
        <v>29</v>
      </c>
      <c r="AB29" s="372">
        <f t="shared" si="10"/>
        <v>30</v>
      </c>
      <c r="AC29" s="372">
        <f t="shared" si="10"/>
        <v>0</v>
      </c>
      <c r="AD29" s="372">
        <f t="shared" si="10"/>
        <v>3</v>
      </c>
      <c r="AE29" s="372">
        <f t="shared" si="10"/>
        <v>1</v>
      </c>
      <c r="AF29" s="372">
        <f t="shared" si="10"/>
        <v>40</v>
      </c>
      <c r="AG29" s="372">
        <f t="shared" si="10"/>
        <v>26</v>
      </c>
      <c r="AH29" s="372">
        <f t="shared" si="10"/>
        <v>5</v>
      </c>
      <c r="AI29" s="372">
        <f t="shared" si="10"/>
        <v>2</v>
      </c>
      <c r="AJ29" s="372">
        <f t="shared" si="10"/>
        <v>55</v>
      </c>
      <c r="AK29" s="360"/>
      <c r="AL29" s="360"/>
    </row>
    <row r="30" spans="1:38" s="367" customFormat="1" ht="16.5" customHeight="1">
      <c r="A30" s="359">
        <v>1</v>
      </c>
      <c r="B30" s="360" t="s">
        <v>168</v>
      </c>
      <c r="C30" s="359" t="s">
        <v>105</v>
      </c>
      <c r="D30" s="378" t="s">
        <v>212</v>
      </c>
      <c r="E30" s="378"/>
      <c r="F30" s="378"/>
      <c r="G30" s="378"/>
      <c r="H30" s="378"/>
      <c r="I30" s="362">
        <f aca="true" t="shared" si="11" ref="I30:J32">K30+M30+O30+Q30+S30</f>
        <v>319</v>
      </c>
      <c r="J30" s="362">
        <f t="shared" si="11"/>
        <v>12</v>
      </c>
      <c r="K30" s="375">
        <v>59</v>
      </c>
      <c r="L30" s="375">
        <v>2</v>
      </c>
      <c r="M30" s="375">
        <v>63</v>
      </c>
      <c r="N30" s="375">
        <v>2</v>
      </c>
      <c r="O30" s="375">
        <v>69</v>
      </c>
      <c r="P30" s="375">
        <v>3</v>
      </c>
      <c r="Q30" s="375">
        <v>57</v>
      </c>
      <c r="R30" s="375">
        <v>2</v>
      </c>
      <c r="S30" s="375">
        <v>71</v>
      </c>
      <c r="T30" s="375">
        <v>3</v>
      </c>
      <c r="U30" s="375"/>
      <c r="V30" s="375"/>
      <c r="W30" s="375">
        <v>152</v>
      </c>
      <c r="X30" s="375">
        <v>3</v>
      </c>
      <c r="Y30" s="375">
        <v>222</v>
      </c>
      <c r="Z30" s="375">
        <v>113</v>
      </c>
      <c r="AA30" s="375">
        <v>12</v>
      </c>
      <c r="AB30" s="375">
        <v>14</v>
      </c>
      <c r="AC30" s="375"/>
      <c r="AD30" s="375">
        <v>1</v>
      </c>
      <c r="AE30" s="375">
        <v>1</v>
      </c>
      <c r="AF30" s="375">
        <v>18</v>
      </c>
      <c r="AG30" s="375">
        <v>11</v>
      </c>
      <c r="AH30" s="375">
        <v>2</v>
      </c>
      <c r="AI30" s="375">
        <v>2</v>
      </c>
      <c r="AJ30" s="375">
        <v>23</v>
      </c>
      <c r="AK30" s="360"/>
      <c r="AL30" s="360"/>
    </row>
    <row r="31" spans="1:38" s="367" customFormat="1" ht="16.5" customHeight="1">
      <c r="A31" s="359">
        <v>2</v>
      </c>
      <c r="B31" s="360" t="s">
        <v>156</v>
      </c>
      <c r="C31" s="359" t="s">
        <v>105</v>
      </c>
      <c r="D31" s="359">
        <v>1</v>
      </c>
      <c r="E31" s="359"/>
      <c r="F31" s="359"/>
      <c r="G31" s="359"/>
      <c r="H31" s="359"/>
      <c r="I31" s="362">
        <f t="shared" si="11"/>
        <v>98</v>
      </c>
      <c r="J31" s="362">
        <f t="shared" si="11"/>
        <v>5</v>
      </c>
      <c r="K31" s="375">
        <v>21</v>
      </c>
      <c r="L31" s="375">
        <v>1</v>
      </c>
      <c r="M31" s="375">
        <v>25</v>
      </c>
      <c r="N31" s="375">
        <v>1</v>
      </c>
      <c r="O31" s="375">
        <v>15</v>
      </c>
      <c r="P31" s="375">
        <v>1</v>
      </c>
      <c r="Q31" s="375">
        <v>21</v>
      </c>
      <c r="R31" s="375">
        <v>1</v>
      </c>
      <c r="S31" s="375">
        <v>16</v>
      </c>
      <c r="T31" s="375">
        <v>1</v>
      </c>
      <c r="U31" s="375"/>
      <c r="V31" s="375"/>
      <c r="W31" s="375">
        <v>45</v>
      </c>
      <c r="X31" s="375">
        <v>1</v>
      </c>
      <c r="Y31" s="375">
        <v>95</v>
      </c>
      <c r="Z31" s="375">
        <v>45</v>
      </c>
      <c r="AA31" s="375">
        <v>5</v>
      </c>
      <c r="AB31" s="375">
        <v>5</v>
      </c>
      <c r="AC31" s="375"/>
      <c r="AD31" s="375">
        <v>1</v>
      </c>
      <c r="AE31" s="375"/>
      <c r="AF31" s="375">
        <v>7</v>
      </c>
      <c r="AG31" s="375">
        <v>6</v>
      </c>
      <c r="AH31" s="375">
        <v>1</v>
      </c>
      <c r="AI31" s="375"/>
      <c r="AJ31" s="375">
        <v>12</v>
      </c>
      <c r="AK31" s="360"/>
      <c r="AL31" s="360"/>
    </row>
    <row r="32" spans="1:38" s="367" customFormat="1" ht="16.5" customHeight="1">
      <c r="A32" s="359">
        <v>3</v>
      </c>
      <c r="B32" s="360" t="s">
        <v>157</v>
      </c>
      <c r="C32" s="359" t="s">
        <v>105</v>
      </c>
      <c r="D32" s="379" t="s">
        <v>212</v>
      </c>
      <c r="E32" s="379"/>
      <c r="F32" s="379"/>
      <c r="G32" s="379"/>
      <c r="H32" s="379"/>
      <c r="I32" s="362">
        <f t="shared" si="11"/>
        <v>243</v>
      </c>
      <c r="J32" s="362">
        <f t="shared" si="11"/>
        <v>11</v>
      </c>
      <c r="K32" s="375">
        <v>35</v>
      </c>
      <c r="L32" s="375">
        <v>2</v>
      </c>
      <c r="M32" s="375">
        <v>52</v>
      </c>
      <c r="N32" s="375">
        <v>2</v>
      </c>
      <c r="O32" s="375">
        <v>52</v>
      </c>
      <c r="P32" s="375">
        <v>2</v>
      </c>
      <c r="Q32" s="375">
        <v>42</v>
      </c>
      <c r="R32" s="375">
        <v>2</v>
      </c>
      <c r="S32" s="375">
        <v>62</v>
      </c>
      <c r="T32" s="375">
        <v>3</v>
      </c>
      <c r="U32" s="375"/>
      <c r="V32" s="375"/>
      <c r="W32" s="375">
        <v>126</v>
      </c>
      <c r="X32" s="375">
        <v>7</v>
      </c>
      <c r="Y32" s="375">
        <v>141</v>
      </c>
      <c r="Z32" s="375">
        <v>125</v>
      </c>
      <c r="AA32" s="375">
        <v>12</v>
      </c>
      <c r="AB32" s="375">
        <v>11</v>
      </c>
      <c r="AC32" s="375"/>
      <c r="AD32" s="375">
        <v>1</v>
      </c>
      <c r="AE32" s="375"/>
      <c r="AF32" s="375">
        <v>15</v>
      </c>
      <c r="AG32" s="375">
        <v>9</v>
      </c>
      <c r="AH32" s="375">
        <v>2</v>
      </c>
      <c r="AI32" s="375"/>
      <c r="AJ32" s="375">
        <v>20</v>
      </c>
      <c r="AK32" s="360"/>
      <c r="AL32" s="360"/>
    </row>
    <row r="33" spans="1:38" s="367" customFormat="1" ht="16.5" customHeight="1">
      <c r="A33" s="442"/>
      <c r="B33" s="443"/>
      <c r="C33" s="442"/>
      <c r="D33" s="444"/>
      <c r="E33" s="444"/>
      <c r="F33" s="444"/>
      <c r="G33" s="444"/>
      <c r="H33" s="444"/>
      <c r="I33" s="445"/>
      <c r="J33" s="445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14" t="s">
        <v>318</v>
      </c>
      <c r="AG33" s="446"/>
      <c r="AH33" s="446"/>
      <c r="AI33" s="446"/>
      <c r="AJ33" s="446"/>
      <c r="AK33" s="443"/>
      <c r="AL33" s="443"/>
    </row>
    <row r="34" spans="1:38" s="367" customFormat="1" ht="16.5" customHeight="1">
      <c r="A34" s="442"/>
      <c r="B34" s="443"/>
      <c r="C34" s="442"/>
      <c r="D34" s="444"/>
      <c r="E34" s="444"/>
      <c r="F34" s="444"/>
      <c r="G34" s="444"/>
      <c r="H34" s="444"/>
      <c r="I34" s="445"/>
      <c r="J34" s="445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2" t="s">
        <v>63</v>
      </c>
      <c r="AG34" s="446"/>
      <c r="AH34" s="446"/>
      <c r="AI34" s="446"/>
      <c r="AJ34" s="446"/>
      <c r="AK34" s="443"/>
      <c r="AL34" s="443"/>
    </row>
    <row r="35" spans="1:36" ht="15.75" customHeight="1">
      <c r="A35" s="90"/>
      <c r="B35" s="58"/>
      <c r="D35" s="290"/>
      <c r="E35" s="290"/>
      <c r="F35" s="290"/>
      <c r="G35" s="290"/>
      <c r="H35" s="290"/>
      <c r="I35" s="19" t="s">
        <v>73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06"/>
      <c r="Z35" s="105"/>
      <c r="AA35" s="105"/>
      <c r="AB35" s="82"/>
      <c r="AC35" s="82"/>
      <c r="AD35" s="82"/>
      <c r="AE35" s="82"/>
      <c r="AF35" s="2" t="s">
        <v>182</v>
      </c>
      <c r="AG35" s="229"/>
      <c r="AH35" s="82"/>
      <c r="AI35" s="229"/>
      <c r="AJ35" s="82"/>
    </row>
    <row r="36" spans="1:39" ht="12.75">
      <c r="A36" s="56"/>
      <c r="B36" s="56"/>
      <c r="C36" s="56"/>
      <c r="D36" s="56"/>
      <c r="E36" s="56"/>
      <c r="F36" s="56"/>
      <c r="G36" s="56"/>
      <c r="H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7"/>
      <c r="AA36" s="57"/>
      <c r="AB36" s="57"/>
      <c r="AC36" s="57"/>
      <c r="AD36" s="57"/>
      <c r="AE36" s="57"/>
      <c r="AF36" s="16"/>
      <c r="AG36" s="57"/>
      <c r="AH36" s="57"/>
      <c r="AI36" s="57"/>
      <c r="AJ36" s="57"/>
      <c r="AK36" s="14"/>
      <c r="AL36" s="14"/>
      <c r="AM36" s="14"/>
    </row>
    <row r="37" spans="26:39" ht="12.75">
      <c r="Z37" s="14"/>
      <c r="AA37" s="14"/>
      <c r="AB37" s="14"/>
      <c r="AC37" s="14"/>
      <c r="AE37" s="14"/>
      <c r="AF37" s="16"/>
      <c r="AG37" s="14"/>
      <c r="AH37" s="14"/>
      <c r="AI37" s="14"/>
      <c r="AJ37" s="14"/>
      <c r="AK37" s="14"/>
      <c r="AL37" s="14"/>
      <c r="AM37" s="14"/>
    </row>
    <row r="38" spans="2:39" ht="12.75">
      <c r="B38" s="19"/>
      <c r="C38" s="19"/>
      <c r="D38" s="19"/>
      <c r="E38" s="19"/>
      <c r="F38" s="19"/>
      <c r="G38" s="19"/>
      <c r="H38" s="19"/>
      <c r="J38" s="19"/>
      <c r="Z38" s="2"/>
      <c r="AA38" s="2"/>
      <c r="AB38" s="2"/>
      <c r="AC38" s="2"/>
      <c r="AE38" s="2"/>
      <c r="AF38" s="16"/>
      <c r="AG38" s="2"/>
      <c r="AH38" s="2"/>
      <c r="AI38" s="2"/>
      <c r="AJ38" s="2"/>
      <c r="AK38" s="2"/>
      <c r="AL38" s="2"/>
      <c r="AM38" s="2"/>
    </row>
    <row r="39" spans="2:39" ht="12.75">
      <c r="B39" s="19"/>
      <c r="C39" s="19"/>
      <c r="D39" s="19"/>
      <c r="E39" s="19"/>
      <c r="F39" s="19"/>
      <c r="G39" s="19"/>
      <c r="H39" s="19"/>
      <c r="J39" s="19"/>
      <c r="Z39" s="2"/>
      <c r="AA39" s="2"/>
      <c r="AB39" s="2"/>
      <c r="AC39" s="2"/>
      <c r="AE39" s="2"/>
      <c r="AF39" s="16"/>
      <c r="AG39" s="2"/>
      <c r="AH39" s="2"/>
      <c r="AI39" s="2"/>
      <c r="AJ39" s="2"/>
      <c r="AK39" s="2"/>
      <c r="AL39" s="2"/>
      <c r="AM39" s="2"/>
    </row>
    <row r="40" spans="2:39" ht="15.75">
      <c r="B40" s="19"/>
      <c r="C40" s="19"/>
      <c r="D40" s="19"/>
      <c r="E40" s="19"/>
      <c r="F40" s="19"/>
      <c r="G40" s="19"/>
      <c r="H40" s="19"/>
      <c r="I40" s="14" t="s">
        <v>74</v>
      </c>
      <c r="J40" s="19"/>
      <c r="Z40" s="2"/>
      <c r="AA40" s="2"/>
      <c r="AB40" s="2"/>
      <c r="AC40" s="2"/>
      <c r="AE40" s="2"/>
      <c r="AF40" s="13" t="s">
        <v>72</v>
      </c>
      <c r="AG40" s="2"/>
      <c r="AH40" s="2"/>
      <c r="AI40" s="2"/>
      <c r="AJ40" s="2"/>
      <c r="AK40" s="2"/>
      <c r="AL40" s="2"/>
      <c r="AM40" s="2"/>
    </row>
    <row r="41" spans="26:39" ht="12.75">
      <c r="Z41" s="2"/>
      <c r="AA41" s="2"/>
      <c r="AB41" s="2"/>
      <c r="AC41" s="2"/>
      <c r="AE41" s="2"/>
      <c r="AF41" s="16"/>
      <c r="AG41" s="2"/>
      <c r="AH41" s="2"/>
      <c r="AI41" s="2"/>
      <c r="AJ41" s="2"/>
      <c r="AK41" s="2"/>
      <c r="AL41" s="2"/>
      <c r="AM41" s="2"/>
    </row>
    <row r="42" spans="26:39" ht="12.75">
      <c r="Z42" s="2"/>
      <c r="AA42" s="2"/>
      <c r="AB42" s="2"/>
      <c r="AC42" s="2"/>
      <c r="AE42" s="2"/>
      <c r="AG42" s="2"/>
      <c r="AH42" s="2"/>
      <c r="AI42" s="2"/>
      <c r="AJ42" s="2"/>
      <c r="AK42" s="2"/>
      <c r="AL42" s="2"/>
      <c r="AM42" s="2"/>
    </row>
    <row r="43" spans="26:39" ht="12.75">
      <c r="Z43" s="16"/>
      <c r="AA43" s="16"/>
      <c r="AB43" s="16"/>
      <c r="AC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26:39" ht="15.75">
      <c r="Z44" s="16"/>
      <c r="AA44" s="16"/>
      <c r="AB44" s="16"/>
      <c r="AC44" s="16"/>
      <c r="AE44" s="16"/>
      <c r="AF44" s="13"/>
      <c r="AG44" s="16"/>
      <c r="AH44" s="16"/>
      <c r="AI44" s="16"/>
      <c r="AJ44" s="16"/>
      <c r="AK44" s="16"/>
      <c r="AL44" s="16"/>
      <c r="AM44" s="16"/>
    </row>
  </sheetData>
  <sheetProtection/>
  <mergeCells count="31">
    <mergeCell ref="O5:P5"/>
    <mergeCell ref="AI5:AI6"/>
    <mergeCell ref="E4:F5"/>
    <mergeCell ref="AK4:AK6"/>
    <mergeCell ref="AG5:AG6"/>
    <mergeCell ref="C4:C6"/>
    <mergeCell ref="S5:T5"/>
    <mergeCell ref="K5:L5"/>
    <mergeCell ref="AJ4:AJ6"/>
    <mergeCell ref="AF4:AG4"/>
    <mergeCell ref="AH5:AH6"/>
    <mergeCell ref="K4:T4"/>
    <mergeCell ref="A1:K1"/>
    <mergeCell ref="A2:K2"/>
    <mergeCell ref="A4:A6"/>
    <mergeCell ref="B4:B6"/>
    <mergeCell ref="I4:J5"/>
    <mergeCell ref="X4:X6"/>
    <mergeCell ref="D4:D6"/>
    <mergeCell ref="M5:N5"/>
    <mergeCell ref="Q5:R5"/>
    <mergeCell ref="G4:H5"/>
    <mergeCell ref="AL4:AL6"/>
    <mergeCell ref="U4:U6"/>
    <mergeCell ref="V4:V6"/>
    <mergeCell ref="AB4:AE5"/>
    <mergeCell ref="AA4:AA6"/>
    <mergeCell ref="AH4:AI4"/>
    <mergeCell ref="AF5:AF6"/>
    <mergeCell ref="W4:W6"/>
    <mergeCell ref="Y4:Z5"/>
  </mergeCells>
  <printOptions horizontalCentered="1"/>
  <pageMargins left="0" right="0" top="0.511811023622047" bottom="0" header="0.511811023622047" footer="0.511811023622047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60"/>
  <sheetViews>
    <sheetView view="pageBreakPreview" zoomScaleSheetLayoutView="100" workbookViewId="0" topLeftCell="A1">
      <selection activeCell="AE6" sqref="AE6"/>
    </sheetView>
  </sheetViews>
  <sheetFormatPr defaultColWidth="8.88671875" defaultRowHeight="18.75"/>
  <cols>
    <col min="1" max="1" width="3.21484375" style="6" bestFit="1" customWidth="1"/>
    <col min="2" max="2" width="15.6640625" style="6" customWidth="1"/>
    <col min="3" max="3" width="2.77734375" style="6" customWidth="1"/>
    <col min="4" max="4" width="3.3359375" style="6" customWidth="1"/>
    <col min="5" max="5" width="5.88671875" style="6" customWidth="1"/>
    <col min="6" max="6" width="5.10546875" style="6" customWidth="1"/>
    <col min="7" max="7" width="5.6640625" style="6" customWidth="1"/>
    <col min="8" max="8" width="4.10546875" style="6" customWidth="1"/>
    <col min="9" max="9" width="5.6640625" style="6" customWidth="1"/>
    <col min="10" max="10" width="3.99609375" style="6" customWidth="1"/>
    <col min="11" max="11" width="5.10546875" style="6" customWidth="1"/>
    <col min="12" max="12" width="4.21484375" style="6" customWidth="1"/>
    <col min="13" max="13" width="5.5546875" style="6" customWidth="1"/>
    <col min="14" max="14" width="3.99609375" style="6" bestFit="1" customWidth="1"/>
    <col min="15" max="15" width="5.6640625" style="6" customWidth="1"/>
    <col min="16" max="16" width="5.5546875" style="6" customWidth="1"/>
    <col min="17" max="17" width="4.88671875" style="6" customWidth="1"/>
    <col min="18" max="18" width="2.77734375" style="6" customWidth="1"/>
    <col min="19" max="19" width="3.99609375" style="6" customWidth="1"/>
    <col min="20" max="20" width="3.77734375" style="6" customWidth="1"/>
    <col min="21" max="21" width="3.21484375" style="6" customWidth="1"/>
    <col min="22" max="22" width="3.88671875" style="6" customWidth="1"/>
    <col min="23" max="24" width="4.88671875" style="6" customWidth="1"/>
    <col min="25" max="25" width="4.10546875" style="6" customWidth="1"/>
    <col min="26" max="26" width="3.6640625" style="6" customWidth="1"/>
    <col min="27" max="27" width="5.3359375" style="6" customWidth="1"/>
    <col min="28" max="16384" width="8.88671875" style="6" customWidth="1"/>
  </cols>
  <sheetData>
    <row r="1" spans="1:27" ht="18.75">
      <c r="A1" s="537" t="s">
        <v>23</v>
      </c>
      <c r="B1" s="537"/>
      <c r="C1" s="537"/>
      <c r="D1" s="537"/>
      <c r="E1" s="537"/>
      <c r="F1" s="537"/>
      <c r="G1" s="537"/>
      <c r="M1" s="4"/>
      <c r="P1" s="17" t="s">
        <v>48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>
      <c r="A2" s="523" t="s">
        <v>24</v>
      </c>
      <c r="B2" s="523"/>
      <c r="C2" s="523"/>
      <c r="D2" s="523"/>
      <c r="E2" s="523"/>
      <c r="F2" s="523"/>
      <c r="G2" s="523"/>
      <c r="M2" s="13"/>
      <c r="P2" s="13" t="s">
        <v>329</v>
      </c>
      <c r="Q2" s="13"/>
      <c r="R2" s="13"/>
      <c r="S2" s="13"/>
      <c r="U2" s="13" t="s">
        <v>330</v>
      </c>
      <c r="V2" s="13"/>
      <c r="W2" s="13"/>
      <c r="X2" s="13"/>
      <c r="Y2" s="13"/>
      <c r="Z2" s="13"/>
      <c r="AA2" s="13"/>
    </row>
    <row r="3" spans="1:27" ht="18.75" customHeight="1">
      <c r="A3" s="524" t="s">
        <v>0</v>
      </c>
      <c r="B3" s="525" t="s">
        <v>60</v>
      </c>
      <c r="C3" s="538" t="s">
        <v>302</v>
      </c>
      <c r="D3" s="506" t="s">
        <v>123</v>
      </c>
      <c r="E3" s="512" t="s">
        <v>28</v>
      </c>
      <c r="F3" s="514"/>
      <c r="G3" s="477" t="s">
        <v>25</v>
      </c>
      <c r="H3" s="477"/>
      <c r="I3" s="477"/>
      <c r="J3" s="477"/>
      <c r="K3" s="477"/>
      <c r="L3" s="477"/>
      <c r="M3" s="477"/>
      <c r="N3" s="477"/>
      <c r="O3" s="514" t="s">
        <v>113</v>
      </c>
      <c r="P3" s="529" t="s">
        <v>32</v>
      </c>
      <c r="Q3" s="530"/>
      <c r="R3" s="506" t="s">
        <v>312</v>
      </c>
      <c r="S3" s="512" t="s">
        <v>117</v>
      </c>
      <c r="T3" s="513"/>
      <c r="U3" s="513"/>
      <c r="V3" s="514"/>
      <c r="W3" s="477" t="s">
        <v>26</v>
      </c>
      <c r="X3" s="477"/>
      <c r="Y3" s="458" t="s">
        <v>116</v>
      </c>
      <c r="Z3" s="461"/>
      <c r="AA3" s="506" t="s">
        <v>27</v>
      </c>
    </row>
    <row r="4" spans="1:27" ht="12.75">
      <c r="A4" s="520"/>
      <c r="B4" s="525"/>
      <c r="C4" s="539"/>
      <c r="D4" s="507"/>
      <c r="E4" s="515"/>
      <c r="F4" s="516"/>
      <c r="G4" s="458" t="s">
        <v>56</v>
      </c>
      <c r="H4" s="461"/>
      <c r="I4" s="458" t="s">
        <v>57</v>
      </c>
      <c r="J4" s="461"/>
      <c r="K4" s="458" t="s">
        <v>58</v>
      </c>
      <c r="L4" s="461"/>
      <c r="M4" s="458" t="s">
        <v>59</v>
      </c>
      <c r="N4" s="461"/>
      <c r="O4" s="541"/>
      <c r="P4" s="531"/>
      <c r="Q4" s="532"/>
      <c r="R4" s="507"/>
      <c r="S4" s="515"/>
      <c r="T4" s="470"/>
      <c r="U4" s="470"/>
      <c r="V4" s="516"/>
      <c r="W4" s="477" t="s">
        <v>34</v>
      </c>
      <c r="X4" s="477" t="s">
        <v>33</v>
      </c>
      <c r="Y4" s="477" t="s">
        <v>34</v>
      </c>
      <c r="Z4" s="525" t="s">
        <v>113</v>
      </c>
      <c r="AA4" s="507"/>
    </row>
    <row r="5" spans="1:27" ht="39.75" customHeight="1">
      <c r="A5" s="521"/>
      <c r="B5" s="525"/>
      <c r="C5" s="540"/>
      <c r="D5" s="508"/>
      <c r="E5" s="8" t="s">
        <v>35</v>
      </c>
      <c r="F5" s="9" t="s">
        <v>36</v>
      </c>
      <c r="G5" s="8" t="s">
        <v>35</v>
      </c>
      <c r="H5" s="9" t="s">
        <v>36</v>
      </c>
      <c r="I5" s="8" t="s">
        <v>35</v>
      </c>
      <c r="J5" s="9" t="s">
        <v>36</v>
      </c>
      <c r="K5" s="8" t="s">
        <v>35</v>
      </c>
      <c r="L5" s="9" t="s">
        <v>36</v>
      </c>
      <c r="M5" s="8" t="s">
        <v>35</v>
      </c>
      <c r="N5" s="9" t="s">
        <v>36</v>
      </c>
      <c r="O5" s="516"/>
      <c r="P5" s="9" t="s">
        <v>114</v>
      </c>
      <c r="Q5" s="9" t="s">
        <v>113</v>
      </c>
      <c r="R5" s="508"/>
      <c r="S5" s="8" t="s">
        <v>120</v>
      </c>
      <c r="T5" s="8" t="s">
        <v>119</v>
      </c>
      <c r="U5" s="8" t="s">
        <v>359</v>
      </c>
      <c r="V5" s="8" t="s">
        <v>360</v>
      </c>
      <c r="W5" s="477"/>
      <c r="X5" s="477"/>
      <c r="Y5" s="477"/>
      <c r="Z5" s="477"/>
      <c r="AA5" s="508"/>
    </row>
    <row r="6" spans="1:27" s="11" customFormat="1" ht="18" customHeight="1">
      <c r="A6" s="335" t="s">
        <v>102</v>
      </c>
      <c r="B6" s="336" t="s">
        <v>333</v>
      </c>
      <c r="C6" s="336">
        <f>C7+C20</f>
        <v>30</v>
      </c>
      <c r="D6" s="337">
        <f>D7+D20</f>
        <v>61</v>
      </c>
      <c r="E6" s="338">
        <f>E7+E20+E22</f>
        <v>37974</v>
      </c>
      <c r="F6" s="337">
        <f aca="true" t="shared" si="0" ref="F6:AA6">F7+F20+F22</f>
        <v>1037</v>
      </c>
      <c r="G6" s="338">
        <f t="shared" si="0"/>
        <v>9656</v>
      </c>
      <c r="H6" s="337">
        <f t="shared" si="0"/>
        <v>261</v>
      </c>
      <c r="I6" s="338">
        <f t="shared" si="0"/>
        <v>10539</v>
      </c>
      <c r="J6" s="337">
        <f t="shared" si="0"/>
        <v>286</v>
      </c>
      <c r="K6" s="338">
        <f t="shared" si="0"/>
        <v>9296</v>
      </c>
      <c r="L6" s="337">
        <f t="shared" si="0"/>
        <v>255</v>
      </c>
      <c r="M6" s="338">
        <f t="shared" si="0"/>
        <v>8483</v>
      </c>
      <c r="N6" s="337">
        <f t="shared" si="0"/>
        <v>235</v>
      </c>
      <c r="O6" s="338">
        <f t="shared" si="0"/>
        <v>19012</v>
      </c>
      <c r="P6" s="338">
        <f t="shared" si="0"/>
        <v>10094</v>
      </c>
      <c r="Q6" s="337">
        <f t="shared" si="0"/>
        <v>5300</v>
      </c>
      <c r="R6" s="337">
        <f t="shared" si="0"/>
        <v>50</v>
      </c>
      <c r="S6" s="337">
        <f t="shared" si="0"/>
        <v>854</v>
      </c>
      <c r="T6" s="337">
        <f t="shared" si="0"/>
        <v>130</v>
      </c>
      <c r="U6" s="337">
        <f t="shared" si="0"/>
        <v>64</v>
      </c>
      <c r="V6" s="337">
        <f t="shared" si="0"/>
        <v>112</v>
      </c>
      <c r="W6" s="338">
        <f>W7+W20+W22</f>
        <v>1983</v>
      </c>
      <c r="X6" s="337">
        <f t="shared" si="0"/>
        <v>1243</v>
      </c>
      <c r="Y6" s="337">
        <f t="shared" si="0"/>
        <v>125</v>
      </c>
      <c r="Z6" s="337">
        <f t="shared" si="0"/>
        <v>37</v>
      </c>
      <c r="AA6" s="338">
        <f t="shared" si="0"/>
        <v>2356</v>
      </c>
    </row>
    <row r="7" spans="1:27" s="11" customFormat="1" ht="18" customHeight="1">
      <c r="A7" s="147" t="s">
        <v>51</v>
      </c>
      <c r="B7" s="148" t="s">
        <v>98</v>
      </c>
      <c r="C7" s="310">
        <f>SUM(C8:C19)</f>
        <v>30</v>
      </c>
      <c r="D7" s="310">
        <f>SUM(D8:D19)</f>
        <v>61</v>
      </c>
      <c r="E7" s="318">
        <f>E8+E9+E10+E12+E14+E17+E19</f>
        <v>35957</v>
      </c>
      <c r="F7" s="318">
        <f aca="true" t="shared" si="1" ref="F7:AA7">F8+F9+F10+F12+F14+F17+F19</f>
        <v>979</v>
      </c>
      <c r="G7" s="318">
        <f t="shared" si="1"/>
        <v>9065</v>
      </c>
      <c r="H7" s="318">
        <f t="shared" si="1"/>
        <v>244</v>
      </c>
      <c r="I7" s="318">
        <f t="shared" si="1"/>
        <v>9980</v>
      </c>
      <c r="J7" s="318">
        <f t="shared" si="1"/>
        <v>271</v>
      </c>
      <c r="K7" s="318">
        <f t="shared" si="1"/>
        <v>8821</v>
      </c>
      <c r="L7" s="318">
        <f t="shared" si="1"/>
        <v>241</v>
      </c>
      <c r="M7" s="318">
        <f t="shared" si="1"/>
        <v>8091</v>
      </c>
      <c r="N7" s="318">
        <f t="shared" si="1"/>
        <v>223</v>
      </c>
      <c r="O7" s="318">
        <f t="shared" si="1"/>
        <v>18165</v>
      </c>
      <c r="P7" s="318">
        <f t="shared" si="1"/>
        <v>9662</v>
      </c>
      <c r="Q7" s="318">
        <f t="shared" si="1"/>
        <v>5044</v>
      </c>
      <c r="R7" s="318">
        <f t="shared" si="1"/>
        <v>48</v>
      </c>
      <c r="S7" s="318">
        <f t="shared" si="1"/>
        <v>797</v>
      </c>
      <c r="T7" s="318">
        <f t="shared" si="1"/>
        <v>115</v>
      </c>
      <c r="U7" s="318">
        <f t="shared" si="1"/>
        <v>59</v>
      </c>
      <c r="V7" s="318">
        <f t="shared" si="1"/>
        <v>112</v>
      </c>
      <c r="W7" s="318">
        <f t="shared" si="1"/>
        <v>1880</v>
      </c>
      <c r="X7" s="318">
        <f t="shared" si="1"/>
        <v>1175</v>
      </c>
      <c r="Y7" s="318">
        <f t="shared" si="1"/>
        <v>122</v>
      </c>
      <c r="Z7" s="318">
        <f t="shared" si="1"/>
        <v>36</v>
      </c>
      <c r="AA7" s="318">
        <f t="shared" si="1"/>
        <v>2234</v>
      </c>
    </row>
    <row r="8" spans="1:27" ht="12.75">
      <c r="A8" s="7">
        <v>1</v>
      </c>
      <c r="B8" s="12" t="s">
        <v>37</v>
      </c>
      <c r="C8" s="7">
        <v>3</v>
      </c>
      <c r="D8" s="138">
        <v>8</v>
      </c>
      <c r="E8" s="137">
        <f aca="true" t="shared" si="2" ref="E8:F18">G8+I8+K8+M8</f>
        <v>1407</v>
      </c>
      <c r="F8" s="137">
        <f t="shared" si="2"/>
        <v>54</v>
      </c>
      <c r="G8" s="430">
        <v>454</v>
      </c>
      <c r="H8" s="430">
        <v>16</v>
      </c>
      <c r="I8" s="430">
        <v>391</v>
      </c>
      <c r="J8" s="430">
        <v>15</v>
      </c>
      <c r="K8" s="430">
        <v>320</v>
      </c>
      <c r="L8" s="430">
        <v>13</v>
      </c>
      <c r="M8" s="430">
        <v>242</v>
      </c>
      <c r="N8" s="430">
        <v>10</v>
      </c>
      <c r="O8" s="430">
        <v>769</v>
      </c>
      <c r="P8" s="228">
        <v>1346</v>
      </c>
      <c r="Q8" s="228">
        <v>745</v>
      </c>
      <c r="R8" s="7">
        <v>4</v>
      </c>
      <c r="S8" s="431">
        <v>74</v>
      </c>
      <c r="T8" s="431">
        <v>9</v>
      </c>
      <c r="U8" s="431">
        <v>8</v>
      </c>
      <c r="V8" s="432">
        <v>11</v>
      </c>
      <c r="W8" s="430">
        <v>111</v>
      </c>
      <c r="X8" s="430">
        <v>52</v>
      </c>
      <c r="Y8" s="12">
        <v>16</v>
      </c>
      <c r="Z8" s="12">
        <v>4</v>
      </c>
      <c r="AA8" s="430">
        <v>148</v>
      </c>
    </row>
    <row r="9" spans="1:27" ht="12.75">
      <c r="A9" s="7">
        <v>2</v>
      </c>
      <c r="B9" s="12" t="s">
        <v>38</v>
      </c>
      <c r="C9" s="7">
        <v>5</v>
      </c>
      <c r="D9" s="138">
        <v>11</v>
      </c>
      <c r="E9" s="52">
        <f t="shared" si="2"/>
        <v>5675</v>
      </c>
      <c r="F9" s="52">
        <f t="shared" si="2"/>
        <v>155</v>
      </c>
      <c r="G9" s="431">
        <v>1477</v>
      </c>
      <c r="H9" s="431">
        <v>40</v>
      </c>
      <c r="I9" s="431">
        <v>1611</v>
      </c>
      <c r="J9" s="431">
        <v>43</v>
      </c>
      <c r="K9" s="431">
        <v>1364</v>
      </c>
      <c r="L9" s="431">
        <v>39</v>
      </c>
      <c r="M9" s="431">
        <v>1223</v>
      </c>
      <c r="N9" s="431">
        <v>33</v>
      </c>
      <c r="O9" s="431">
        <v>2881</v>
      </c>
      <c r="P9" s="228">
        <v>595</v>
      </c>
      <c r="Q9" s="228">
        <v>293</v>
      </c>
      <c r="R9" s="238">
        <v>3</v>
      </c>
      <c r="S9" s="431">
        <v>107</v>
      </c>
      <c r="T9" s="431">
        <v>19</v>
      </c>
      <c r="U9" s="431">
        <v>9</v>
      </c>
      <c r="V9" s="432">
        <v>17</v>
      </c>
      <c r="W9" s="431">
        <v>292</v>
      </c>
      <c r="X9" s="431">
        <v>193</v>
      </c>
      <c r="Y9" s="431">
        <v>18</v>
      </c>
      <c r="Z9" s="431">
        <v>4</v>
      </c>
      <c r="AA9" s="431">
        <v>326</v>
      </c>
    </row>
    <row r="10" spans="1:27" s="433" customFormat="1" ht="12.75">
      <c r="A10" s="238">
        <v>3</v>
      </c>
      <c r="B10" s="239" t="s">
        <v>40</v>
      </c>
      <c r="C10" s="238">
        <v>7</v>
      </c>
      <c r="D10" s="389">
        <v>11</v>
      </c>
      <c r="E10" s="390">
        <f t="shared" si="2"/>
        <v>8120</v>
      </c>
      <c r="F10" s="52">
        <f t="shared" si="2"/>
        <v>221</v>
      </c>
      <c r="G10" s="228">
        <v>2014</v>
      </c>
      <c r="H10" s="228">
        <v>53</v>
      </c>
      <c r="I10" s="228">
        <v>2259</v>
      </c>
      <c r="J10" s="228">
        <v>62</v>
      </c>
      <c r="K10" s="228">
        <v>1996</v>
      </c>
      <c r="L10" s="228">
        <v>55</v>
      </c>
      <c r="M10" s="228">
        <v>1851</v>
      </c>
      <c r="N10" s="228">
        <v>51</v>
      </c>
      <c r="O10" s="228">
        <v>4088</v>
      </c>
      <c r="P10" s="228">
        <v>3235</v>
      </c>
      <c r="Q10" s="228">
        <v>1640</v>
      </c>
      <c r="R10" s="238">
        <v>8</v>
      </c>
      <c r="S10" s="228">
        <v>157</v>
      </c>
      <c r="T10" s="228">
        <v>17</v>
      </c>
      <c r="U10" s="228">
        <v>14</v>
      </c>
      <c r="V10" s="432">
        <v>23</v>
      </c>
      <c r="W10" s="228">
        <v>433</v>
      </c>
      <c r="X10" s="228">
        <v>241</v>
      </c>
      <c r="Y10" s="239">
        <v>23</v>
      </c>
      <c r="Z10" s="239">
        <v>7</v>
      </c>
      <c r="AA10" s="228">
        <v>509</v>
      </c>
    </row>
    <row r="11" spans="1:27" s="437" customFormat="1" ht="12.75">
      <c r="A11" s="436"/>
      <c r="B11" s="391" t="s">
        <v>155</v>
      </c>
      <c r="C11" s="391"/>
      <c r="D11" s="392"/>
      <c r="E11" s="393">
        <f>G11+I11+K11+M11</f>
        <v>275</v>
      </c>
      <c r="F11" s="394">
        <f>H11+J11+L11+N11</f>
        <v>9</v>
      </c>
      <c r="G11" s="394">
        <v>72</v>
      </c>
      <c r="H11" s="394">
        <v>2</v>
      </c>
      <c r="I11" s="394">
        <v>65</v>
      </c>
      <c r="J11" s="394">
        <v>2</v>
      </c>
      <c r="K11" s="394">
        <v>70</v>
      </c>
      <c r="L11" s="394">
        <v>2</v>
      </c>
      <c r="M11" s="394">
        <v>68</v>
      </c>
      <c r="N11" s="394">
        <v>3</v>
      </c>
      <c r="O11" s="394">
        <v>149</v>
      </c>
      <c r="P11" s="394">
        <v>273</v>
      </c>
      <c r="Q11" s="391">
        <v>149</v>
      </c>
      <c r="R11" s="391"/>
      <c r="S11" s="395">
        <v>15</v>
      </c>
      <c r="T11" s="395">
        <v>1</v>
      </c>
      <c r="U11" s="395">
        <v>1</v>
      </c>
      <c r="V11" s="394">
        <v>2</v>
      </c>
      <c r="W11" s="394">
        <v>20</v>
      </c>
      <c r="X11" s="394">
        <v>14</v>
      </c>
      <c r="Y11" s="391">
        <v>2</v>
      </c>
      <c r="Z11" s="391"/>
      <c r="AA11" s="394">
        <v>31</v>
      </c>
    </row>
    <row r="12" spans="1:27" s="35" customFormat="1" ht="12.75">
      <c r="A12" s="152">
        <v>4</v>
      </c>
      <c r="B12" s="22" t="s">
        <v>15</v>
      </c>
      <c r="C12" s="152">
        <v>4</v>
      </c>
      <c r="D12" s="434">
        <v>9</v>
      </c>
      <c r="E12" s="435">
        <f t="shared" si="2"/>
        <v>4566</v>
      </c>
      <c r="F12" s="52">
        <f t="shared" si="2"/>
        <v>133</v>
      </c>
      <c r="G12" s="432">
        <v>1150</v>
      </c>
      <c r="H12" s="52">
        <v>34</v>
      </c>
      <c r="I12" s="432">
        <v>1194</v>
      </c>
      <c r="J12" s="52">
        <v>34</v>
      </c>
      <c r="K12" s="432">
        <v>1124</v>
      </c>
      <c r="L12" s="52">
        <v>32</v>
      </c>
      <c r="M12" s="432">
        <v>1098</v>
      </c>
      <c r="N12" s="52">
        <v>33</v>
      </c>
      <c r="O12" s="432">
        <v>2245</v>
      </c>
      <c r="P12" s="432">
        <v>1269</v>
      </c>
      <c r="Q12" s="228">
        <v>651</v>
      </c>
      <c r="R12" s="152">
        <v>17</v>
      </c>
      <c r="S12" s="432">
        <v>119</v>
      </c>
      <c r="T12" s="432">
        <v>21</v>
      </c>
      <c r="U12" s="432">
        <v>13</v>
      </c>
      <c r="V12" s="432">
        <v>20</v>
      </c>
      <c r="W12" s="432">
        <v>256</v>
      </c>
      <c r="X12" s="432">
        <v>168</v>
      </c>
      <c r="Y12" s="22">
        <v>19</v>
      </c>
      <c r="Z12" s="22">
        <v>2</v>
      </c>
      <c r="AA12" s="432">
        <v>314</v>
      </c>
    </row>
    <row r="13" spans="1:27" s="397" customFormat="1" ht="12.75">
      <c r="A13" s="396"/>
      <c r="B13" s="391" t="s">
        <v>55</v>
      </c>
      <c r="C13" s="391"/>
      <c r="D13" s="392"/>
      <c r="E13" s="393">
        <f t="shared" si="2"/>
        <v>287</v>
      </c>
      <c r="F13" s="394">
        <f t="shared" si="2"/>
        <v>9</v>
      </c>
      <c r="G13" s="394">
        <v>100</v>
      </c>
      <c r="H13" s="394">
        <v>3</v>
      </c>
      <c r="I13" s="394">
        <v>64</v>
      </c>
      <c r="J13" s="394">
        <v>2</v>
      </c>
      <c r="K13" s="394">
        <v>60</v>
      </c>
      <c r="L13" s="394">
        <v>2</v>
      </c>
      <c r="M13" s="394">
        <v>63</v>
      </c>
      <c r="N13" s="394">
        <v>2</v>
      </c>
      <c r="O13" s="394">
        <v>185</v>
      </c>
      <c r="P13" s="394">
        <f>64+60+63+100</f>
        <v>287</v>
      </c>
      <c r="Q13" s="391">
        <v>185</v>
      </c>
      <c r="R13" s="391"/>
      <c r="S13" s="395">
        <v>11</v>
      </c>
      <c r="T13" s="395">
        <v>2</v>
      </c>
      <c r="U13" s="395">
        <v>3</v>
      </c>
      <c r="V13" s="394">
        <v>3</v>
      </c>
      <c r="W13" s="394">
        <v>19</v>
      </c>
      <c r="X13" s="394">
        <v>10</v>
      </c>
      <c r="Y13" s="391">
        <v>3</v>
      </c>
      <c r="Z13" s="391">
        <v>1</v>
      </c>
      <c r="AA13" s="394">
        <v>31</v>
      </c>
    </row>
    <row r="14" spans="1:27" ht="12.75">
      <c r="A14" s="7">
        <v>5</v>
      </c>
      <c r="B14" s="12" t="s">
        <v>14</v>
      </c>
      <c r="C14" s="7">
        <v>4</v>
      </c>
      <c r="D14" s="138">
        <v>9</v>
      </c>
      <c r="E14" s="137">
        <f>G14+I14+K14+M14</f>
        <v>10676</v>
      </c>
      <c r="F14" s="52">
        <f t="shared" si="2"/>
        <v>265</v>
      </c>
      <c r="G14" s="398">
        <v>2415</v>
      </c>
      <c r="H14" s="52">
        <v>60</v>
      </c>
      <c r="I14" s="398">
        <v>2991</v>
      </c>
      <c r="J14" s="52">
        <v>76</v>
      </c>
      <c r="K14" s="398">
        <v>2710</v>
      </c>
      <c r="L14" s="52">
        <v>66</v>
      </c>
      <c r="M14" s="398">
        <v>2560</v>
      </c>
      <c r="N14" s="52">
        <v>63</v>
      </c>
      <c r="O14" s="398">
        <v>5302</v>
      </c>
      <c r="P14" s="398">
        <v>299</v>
      </c>
      <c r="Q14" s="398">
        <v>156</v>
      </c>
      <c r="R14" s="399">
        <v>11</v>
      </c>
      <c r="S14" s="398">
        <v>198</v>
      </c>
      <c r="T14" s="398">
        <v>19</v>
      </c>
      <c r="U14" s="398">
        <v>11</v>
      </c>
      <c r="V14" s="398">
        <v>23</v>
      </c>
      <c r="W14" s="400">
        <v>499</v>
      </c>
      <c r="X14" s="400">
        <v>376</v>
      </c>
      <c r="Y14" s="401">
        <v>23</v>
      </c>
      <c r="Z14" s="401">
        <v>11</v>
      </c>
      <c r="AA14" s="400">
        <v>575</v>
      </c>
    </row>
    <row r="15" spans="1:27" ht="12.75">
      <c r="A15" s="7"/>
      <c r="B15" s="391" t="s">
        <v>274</v>
      </c>
      <c r="C15" s="391"/>
      <c r="D15" s="286"/>
      <c r="E15" s="393">
        <f>G15+I15+K15+M15</f>
        <v>151</v>
      </c>
      <c r="F15" s="395">
        <f>H15+J15+L15+N15</f>
        <v>6</v>
      </c>
      <c r="G15" s="394">
        <v>26</v>
      </c>
      <c r="H15" s="395">
        <v>1</v>
      </c>
      <c r="I15" s="394">
        <v>51</v>
      </c>
      <c r="J15" s="395">
        <v>2</v>
      </c>
      <c r="K15" s="394">
        <v>43</v>
      </c>
      <c r="L15" s="395">
        <v>2</v>
      </c>
      <c r="M15" s="394">
        <v>31</v>
      </c>
      <c r="N15" s="395">
        <v>1</v>
      </c>
      <c r="O15" s="394">
        <v>30</v>
      </c>
      <c r="P15" s="394"/>
      <c r="Q15" s="394"/>
      <c r="R15" s="391"/>
      <c r="S15" s="395">
        <v>8</v>
      </c>
      <c r="T15" s="395">
        <v>5</v>
      </c>
      <c r="U15" s="395"/>
      <c r="V15" s="394"/>
      <c r="W15" s="395">
        <v>5</v>
      </c>
      <c r="X15" s="394">
        <v>3</v>
      </c>
      <c r="Y15" s="391">
        <v>1</v>
      </c>
      <c r="Z15" s="391"/>
      <c r="AA15" s="394">
        <f>W15+Y15+3</f>
        <v>9</v>
      </c>
    </row>
    <row r="16" spans="1:27" ht="12.75">
      <c r="A16" s="7"/>
      <c r="B16" s="391" t="s">
        <v>273</v>
      </c>
      <c r="C16" s="391"/>
      <c r="D16" s="286"/>
      <c r="E16" s="393">
        <f>G16+I16+K16+M16</f>
        <v>106</v>
      </c>
      <c r="F16" s="395">
        <f>H16+J16+L16+N16</f>
        <v>5</v>
      </c>
      <c r="G16" s="394">
        <v>24</v>
      </c>
      <c r="H16" s="395">
        <v>1</v>
      </c>
      <c r="I16" s="394">
        <v>43</v>
      </c>
      <c r="J16" s="395">
        <v>2</v>
      </c>
      <c r="K16" s="394">
        <v>20</v>
      </c>
      <c r="L16" s="395">
        <v>1</v>
      </c>
      <c r="M16" s="394">
        <v>19</v>
      </c>
      <c r="N16" s="395">
        <v>1</v>
      </c>
      <c r="O16" s="394">
        <v>15</v>
      </c>
      <c r="P16" s="394"/>
      <c r="Q16" s="394"/>
      <c r="R16" s="391"/>
      <c r="S16" s="395">
        <v>5</v>
      </c>
      <c r="T16" s="395">
        <v>2</v>
      </c>
      <c r="U16" s="395"/>
      <c r="V16" s="394"/>
      <c r="W16" s="395">
        <v>12</v>
      </c>
      <c r="X16" s="394">
        <v>9</v>
      </c>
      <c r="Y16" s="391">
        <v>1</v>
      </c>
      <c r="Z16" s="391">
        <v>1</v>
      </c>
      <c r="AA16" s="394">
        <f>W16+Y16+2</f>
        <v>15</v>
      </c>
    </row>
    <row r="17" spans="1:27" ht="12.75">
      <c r="A17" s="7">
        <v>6</v>
      </c>
      <c r="B17" s="12" t="s">
        <v>39</v>
      </c>
      <c r="C17" s="7">
        <v>2</v>
      </c>
      <c r="D17" s="138">
        <v>7</v>
      </c>
      <c r="E17" s="137">
        <f t="shared" si="2"/>
        <v>2415</v>
      </c>
      <c r="F17" s="52">
        <f t="shared" si="2"/>
        <v>68</v>
      </c>
      <c r="G17" s="52">
        <v>752</v>
      </c>
      <c r="H17" s="52">
        <v>20</v>
      </c>
      <c r="I17" s="52">
        <v>681</v>
      </c>
      <c r="J17" s="52">
        <v>18</v>
      </c>
      <c r="K17" s="52">
        <v>529</v>
      </c>
      <c r="L17" s="52">
        <v>16</v>
      </c>
      <c r="M17" s="52">
        <v>453</v>
      </c>
      <c r="N17" s="52">
        <v>14</v>
      </c>
      <c r="O17" s="52">
        <v>1337</v>
      </c>
      <c r="P17" s="52">
        <v>1666</v>
      </c>
      <c r="Q17" s="228">
        <v>961</v>
      </c>
      <c r="R17" s="7">
        <v>3</v>
      </c>
      <c r="S17" s="52">
        <v>63</v>
      </c>
      <c r="T17" s="52">
        <v>17</v>
      </c>
      <c r="U17" s="52">
        <v>2</v>
      </c>
      <c r="V17" s="52">
        <v>13</v>
      </c>
      <c r="W17" s="52">
        <v>130</v>
      </c>
      <c r="X17" s="52">
        <v>85</v>
      </c>
      <c r="Y17" s="12">
        <v>13</v>
      </c>
      <c r="Z17" s="12">
        <v>6</v>
      </c>
      <c r="AA17" s="52">
        <f>W17+Y17+30</f>
        <v>173</v>
      </c>
    </row>
    <row r="18" spans="1:27" s="11" customFormat="1" ht="12.75">
      <c r="A18" s="286"/>
      <c r="B18" s="391" t="s">
        <v>54</v>
      </c>
      <c r="C18" s="391"/>
      <c r="D18" s="392"/>
      <c r="E18" s="393">
        <f t="shared" si="2"/>
        <v>275</v>
      </c>
      <c r="F18" s="394">
        <f t="shared" si="2"/>
        <v>8</v>
      </c>
      <c r="G18" s="394">
        <v>70</v>
      </c>
      <c r="H18" s="394">
        <v>2</v>
      </c>
      <c r="I18" s="394">
        <v>69</v>
      </c>
      <c r="J18" s="394">
        <v>2</v>
      </c>
      <c r="K18" s="394">
        <v>67</v>
      </c>
      <c r="L18" s="394">
        <v>2</v>
      </c>
      <c r="M18" s="394">
        <v>69</v>
      </c>
      <c r="N18" s="394">
        <v>2</v>
      </c>
      <c r="O18" s="394">
        <v>201</v>
      </c>
      <c r="P18" s="394">
        <v>275</v>
      </c>
      <c r="Q18" s="391">
        <v>201</v>
      </c>
      <c r="R18" s="391"/>
      <c r="S18" s="395">
        <v>8</v>
      </c>
      <c r="T18" s="395">
        <v>6</v>
      </c>
      <c r="U18" s="395">
        <v>3</v>
      </c>
      <c r="V18" s="394">
        <v>3</v>
      </c>
      <c r="W18" s="394">
        <v>16</v>
      </c>
      <c r="X18" s="394">
        <v>10</v>
      </c>
      <c r="Y18" s="391">
        <v>3</v>
      </c>
      <c r="Z18" s="391">
        <v>1</v>
      </c>
      <c r="AA18" s="394">
        <v>28</v>
      </c>
    </row>
    <row r="19" spans="1:27" ht="12.75">
      <c r="A19" s="7">
        <v>7</v>
      </c>
      <c r="B19" s="12" t="s">
        <v>47</v>
      </c>
      <c r="C19" s="238">
        <v>5</v>
      </c>
      <c r="D19" s="389">
        <v>6</v>
      </c>
      <c r="E19" s="390">
        <f aca="true" t="shared" si="3" ref="E19:F21">G19+I19+K19+M19</f>
        <v>3098</v>
      </c>
      <c r="F19" s="390">
        <f t="shared" si="3"/>
        <v>83</v>
      </c>
      <c r="G19" s="228">
        <v>803</v>
      </c>
      <c r="H19" s="228">
        <v>21</v>
      </c>
      <c r="I19" s="228">
        <v>853</v>
      </c>
      <c r="J19" s="228">
        <v>23</v>
      </c>
      <c r="K19" s="228">
        <v>778</v>
      </c>
      <c r="L19" s="228">
        <v>20</v>
      </c>
      <c r="M19" s="228">
        <v>664</v>
      </c>
      <c r="N19" s="228">
        <v>19</v>
      </c>
      <c r="O19" s="228">
        <v>1543</v>
      </c>
      <c r="P19" s="228">
        <v>1252</v>
      </c>
      <c r="Q19" s="228">
        <v>598</v>
      </c>
      <c r="R19" s="238">
        <v>2</v>
      </c>
      <c r="S19" s="228">
        <v>79</v>
      </c>
      <c r="T19" s="228">
        <v>13</v>
      </c>
      <c r="U19" s="228">
        <v>2</v>
      </c>
      <c r="V19" s="228">
        <v>5</v>
      </c>
      <c r="W19" s="228">
        <v>159</v>
      </c>
      <c r="X19" s="228">
        <v>60</v>
      </c>
      <c r="Y19" s="239">
        <v>10</v>
      </c>
      <c r="Z19" s="239">
        <v>2</v>
      </c>
      <c r="AA19" s="228">
        <v>189</v>
      </c>
    </row>
    <row r="20" spans="1:27" ht="12.75">
      <c r="A20" s="147" t="s">
        <v>52</v>
      </c>
      <c r="B20" s="148" t="s">
        <v>348</v>
      </c>
      <c r="C20" s="310"/>
      <c r="D20" s="310"/>
      <c r="E20" s="318">
        <f t="shared" si="3"/>
        <v>258</v>
      </c>
      <c r="F20" s="310">
        <f t="shared" si="3"/>
        <v>8</v>
      </c>
      <c r="G20" s="318">
        <f>G21</f>
        <v>70</v>
      </c>
      <c r="H20" s="357">
        <f>H21</f>
        <v>2</v>
      </c>
      <c r="I20" s="318">
        <f>I21</f>
        <v>65</v>
      </c>
      <c r="J20" s="357">
        <f>J21</f>
        <v>2</v>
      </c>
      <c r="K20" s="357">
        <f aca="true" t="shared" si="4" ref="K20:AA20">K21</f>
        <v>62</v>
      </c>
      <c r="L20" s="357">
        <f t="shared" si="4"/>
        <v>2</v>
      </c>
      <c r="M20" s="357">
        <f t="shared" si="4"/>
        <v>61</v>
      </c>
      <c r="N20" s="357">
        <f t="shared" si="4"/>
        <v>2</v>
      </c>
      <c r="O20" s="357">
        <f t="shared" si="4"/>
        <v>178</v>
      </c>
      <c r="P20" s="357">
        <f t="shared" si="4"/>
        <v>249</v>
      </c>
      <c r="Q20" s="357">
        <f t="shared" si="4"/>
        <v>168</v>
      </c>
      <c r="R20" s="357">
        <f t="shared" si="4"/>
        <v>2</v>
      </c>
      <c r="S20" s="357">
        <f t="shared" si="4"/>
        <v>8</v>
      </c>
      <c r="T20" s="357">
        <f t="shared" si="4"/>
        <v>2</v>
      </c>
      <c r="U20" s="357">
        <f t="shared" si="4"/>
        <v>1</v>
      </c>
      <c r="V20" s="357">
        <f t="shared" si="4"/>
        <v>0</v>
      </c>
      <c r="W20" s="357">
        <f t="shared" si="4"/>
        <v>15</v>
      </c>
      <c r="X20" s="357">
        <f t="shared" si="4"/>
        <v>10</v>
      </c>
      <c r="Y20" s="357">
        <f t="shared" si="4"/>
        <v>0</v>
      </c>
      <c r="Z20" s="357">
        <f t="shared" si="4"/>
        <v>0</v>
      </c>
      <c r="AA20" s="357">
        <f t="shared" si="4"/>
        <v>24</v>
      </c>
    </row>
    <row r="21" spans="1:27" s="11" customFormat="1" ht="12.75">
      <c r="A21" s="286">
        <v>1</v>
      </c>
      <c r="B21" s="391" t="s">
        <v>53</v>
      </c>
      <c r="C21" s="391"/>
      <c r="D21" s="392"/>
      <c r="E21" s="393">
        <f t="shared" si="3"/>
        <v>258</v>
      </c>
      <c r="F21" s="395">
        <f t="shared" si="3"/>
        <v>8</v>
      </c>
      <c r="G21" s="394">
        <v>70</v>
      </c>
      <c r="H21" s="395">
        <v>2</v>
      </c>
      <c r="I21" s="394">
        <v>65</v>
      </c>
      <c r="J21" s="395">
        <v>2</v>
      </c>
      <c r="K21" s="394">
        <v>62</v>
      </c>
      <c r="L21" s="395">
        <v>2</v>
      </c>
      <c r="M21" s="394">
        <v>61</v>
      </c>
      <c r="N21" s="395">
        <v>2</v>
      </c>
      <c r="O21" s="394">
        <f>47+47+34+50</f>
        <v>178</v>
      </c>
      <c r="P21" s="394">
        <f>66+62+58+63</f>
        <v>249</v>
      </c>
      <c r="Q21" s="391">
        <v>168</v>
      </c>
      <c r="R21" s="391">
        <v>2</v>
      </c>
      <c r="S21" s="395">
        <v>8</v>
      </c>
      <c r="T21" s="395">
        <v>2</v>
      </c>
      <c r="U21" s="395">
        <v>1</v>
      </c>
      <c r="V21" s="394">
        <v>0</v>
      </c>
      <c r="W21" s="394">
        <v>15</v>
      </c>
      <c r="X21" s="394">
        <v>10</v>
      </c>
      <c r="Y21" s="391">
        <v>0</v>
      </c>
      <c r="Z21" s="391">
        <v>0</v>
      </c>
      <c r="AA21" s="394">
        <v>24</v>
      </c>
    </row>
    <row r="22" spans="1:27" ht="12.75">
      <c r="A22" s="147" t="s">
        <v>275</v>
      </c>
      <c r="B22" s="148" t="s">
        <v>272</v>
      </c>
      <c r="C22" s="310"/>
      <c r="D22" s="310"/>
      <c r="E22" s="318">
        <f>SUM(E23:E26)</f>
        <v>1759</v>
      </c>
      <c r="F22" s="310">
        <f aca="true" t="shared" si="5" ref="F22:AA22">SUM(F23:F26)</f>
        <v>50</v>
      </c>
      <c r="G22" s="310">
        <f t="shared" si="5"/>
        <v>521</v>
      </c>
      <c r="H22" s="310">
        <f t="shared" si="5"/>
        <v>15</v>
      </c>
      <c r="I22" s="310">
        <f t="shared" si="5"/>
        <v>494</v>
      </c>
      <c r="J22" s="310">
        <f t="shared" si="5"/>
        <v>13</v>
      </c>
      <c r="K22" s="310">
        <f t="shared" si="5"/>
        <v>413</v>
      </c>
      <c r="L22" s="310">
        <f t="shared" si="5"/>
        <v>12</v>
      </c>
      <c r="M22" s="310">
        <f t="shared" si="5"/>
        <v>331</v>
      </c>
      <c r="N22" s="310">
        <f t="shared" si="5"/>
        <v>10</v>
      </c>
      <c r="O22" s="310">
        <f t="shared" si="5"/>
        <v>669</v>
      </c>
      <c r="P22" s="310">
        <f t="shared" si="5"/>
        <v>183</v>
      </c>
      <c r="Q22" s="310">
        <f t="shared" si="5"/>
        <v>88</v>
      </c>
      <c r="R22" s="310">
        <f t="shared" si="5"/>
        <v>0</v>
      </c>
      <c r="S22" s="310">
        <f t="shared" si="5"/>
        <v>49</v>
      </c>
      <c r="T22" s="310">
        <f t="shared" si="5"/>
        <v>13</v>
      </c>
      <c r="U22" s="310">
        <f t="shared" si="5"/>
        <v>4</v>
      </c>
      <c r="V22" s="310">
        <f t="shared" si="5"/>
        <v>0</v>
      </c>
      <c r="W22" s="318">
        <f t="shared" si="5"/>
        <v>88</v>
      </c>
      <c r="X22" s="310">
        <f t="shared" si="5"/>
        <v>58</v>
      </c>
      <c r="Y22" s="310">
        <f t="shared" si="5"/>
        <v>3</v>
      </c>
      <c r="Z22" s="310">
        <f t="shared" si="5"/>
        <v>1</v>
      </c>
      <c r="AA22" s="318">
        <f t="shared" si="5"/>
        <v>98</v>
      </c>
    </row>
    <row r="23" spans="1:27" ht="12.75">
      <c r="A23" s="7">
        <v>1</v>
      </c>
      <c r="B23" s="12" t="s">
        <v>316</v>
      </c>
      <c r="C23" s="7"/>
      <c r="D23" s="153"/>
      <c r="E23" s="137">
        <f aca="true" t="shared" si="6" ref="E23:F26">G23+I23+K23+M23</f>
        <v>227</v>
      </c>
      <c r="F23" s="402">
        <f t="shared" si="6"/>
        <v>8</v>
      </c>
      <c r="G23" s="52">
        <v>56</v>
      </c>
      <c r="H23" s="402">
        <v>2</v>
      </c>
      <c r="I23" s="52">
        <v>60</v>
      </c>
      <c r="J23" s="402">
        <v>2</v>
      </c>
      <c r="K23" s="52">
        <v>57</v>
      </c>
      <c r="L23" s="402">
        <v>2</v>
      </c>
      <c r="M23" s="52">
        <v>54</v>
      </c>
      <c r="N23" s="402">
        <v>2</v>
      </c>
      <c r="O23" s="52">
        <v>118</v>
      </c>
      <c r="P23" s="52">
        <v>8</v>
      </c>
      <c r="Q23" s="52">
        <v>4</v>
      </c>
      <c r="R23" s="12"/>
      <c r="S23" s="402">
        <v>8</v>
      </c>
      <c r="T23" s="402">
        <v>2</v>
      </c>
      <c r="U23" s="402">
        <v>1</v>
      </c>
      <c r="V23" s="52">
        <v>0</v>
      </c>
      <c r="W23" s="402">
        <v>13</v>
      </c>
      <c r="X23" s="52">
        <v>5</v>
      </c>
      <c r="Y23" s="12">
        <v>1</v>
      </c>
      <c r="Z23" s="12"/>
      <c r="AA23" s="52">
        <v>15</v>
      </c>
    </row>
    <row r="24" spans="1:27" ht="12.75">
      <c r="A24" s="7">
        <v>2</v>
      </c>
      <c r="B24" s="12" t="s">
        <v>317</v>
      </c>
      <c r="C24" s="7"/>
      <c r="D24" s="7"/>
      <c r="E24" s="137">
        <f t="shared" si="6"/>
        <v>643</v>
      </c>
      <c r="F24" s="402">
        <f t="shared" si="6"/>
        <v>17</v>
      </c>
      <c r="G24" s="52">
        <v>200</v>
      </c>
      <c r="H24" s="402">
        <v>5</v>
      </c>
      <c r="I24" s="52">
        <v>188</v>
      </c>
      <c r="J24" s="402">
        <v>5</v>
      </c>
      <c r="K24" s="52">
        <v>142</v>
      </c>
      <c r="L24" s="402">
        <v>4</v>
      </c>
      <c r="M24" s="52">
        <v>113</v>
      </c>
      <c r="N24" s="402">
        <v>3</v>
      </c>
      <c r="O24" s="52">
        <v>180</v>
      </c>
      <c r="P24" s="52">
        <v>5</v>
      </c>
      <c r="Q24" s="52">
        <v>2</v>
      </c>
      <c r="R24" s="12"/>
      <c r="S24" s="402">
        <v>10</v>
      </c>
      <c r="T24" s="402">
        <v>2</v>
      </c>
      <c r="U24" s="402">
        <v>1</v>
      </c>
      <c r="V24" s="52">
        <v>0</v>
      </c>
      <c r="W24" s="402">
        <v>31</v>
      </c>
      <c r="X24" s="52">
        <v>21</v>
      </c>
      <c r="Y24" s="12">
        <v>0</v>
      </c>
      <c r="Z24" s="12">
        <v>0</v>
      </c>
      <c r="AA24" s="52">
        <v>32</v>
      </c>
    </row>
    <row r="25" spans="1:27" ht="12.75">
      <c r="A25" s="7">
        <v>3</v>
      </c>
      <c r="B25" s="12" t="s">
        <v>327</v>
      </c>
      <c r="C25" s="7"/>
      <c r="D25" s="7"/>
      <c r="E25" s="137">
        <f>G25+I25+K25+M25</f>
        <v>660</v>
      </c>
      <c r="F25" s="402">
        <f>H25+J25+L25+N25</f>
        <v>17</v>
      </c>
      <c r="G25" s="52">
        <v>183</v>
      </c>
      <c r="H25" s="402">
        <v>5</v>
      </c>
      <c r="I25" s="52">
        <v>194</v>
      </c>
      <c r="J25" s="402">
        <v>4</v>
      </c>
      <c r="K25" s="52">
        <v>148</v>
      </c>
      <c r="L25" s="402">
        <v>4</v>
      </c>
      <c r="M25" s="52">
        <v>135</v>
      </c>
      <c r="N25" s="402">
        <v>4</v>
      </c>
      <c r="O25" s="52">
        <v>256</v>
      </c>
      <c r="P25" s="52">
        <v>2</v>
      </c>
      <c r="Q25" s="52">
        <v>2</v>
      </c>
      <c r="R25" s="12"/>
      <c r="S25" s="402">
        <v>24</v>
      </c>
      <c r="T25" s="402">
        <v>5</v>
      </c>
      <c r="U25" s="402">
        <v>1</v>
      </c>
      <c r="V25" s="52"/>
      <c r="W25" s="402">
        <v>31</v>
      </c>
      <c r="X25" s="52">
        <v>24</v>
      </c>
      <c r="Y25" s="12">
        <v>1</v>
      </c>
      <c r="Z25" s="12"/>
      <c r="AA25" s="52">
        <v>36</v>
      </c>
    </row>
    <row r="26" spans="1:27" ht="12.75">
      <c r="A26" s="7">
        <v>4</v>
      </c>
      <c r="B26" s="12" t="s">
        <v>16</v>
      </c>
      <c r="C26" s="7"/>
      <c r="D26" s="7"/>
      <c r="E26" s="137">
        <f t="shared" si="6"/>
        <v>229</v>
      </c>
      <c r="F26" s="402">
        <f t="shared" si="6"/>
        <v>8</v>
      </c>
      <c r="G26" s="52">
        <v>82</v>
      </c>
      <c r="H26" s="402">
        <v>3</v>
      </c>
      <c r="I26" s="52">
        <v>52</v>
      </c>
      <c r="J26" s="402">
        <v>2</v>
      </c>
      <c r="K26" s="52">
        <v>66</v>
      </c>
      <c r="L26" s="402">
        <v>2</v>
      </c>
      <c r="M26" s="52">
        <v>29</v>
      </c>
      <c r="N26" s="402">
        <v>1</v>
      </c>
      <c r="O26" s="52">
        <f>36+34+31+14</f>
        <v>115</v>
      </c>
      <c r="P26" s="52">
        <v>168</v>
      </c>
      <c r="Q26" s="52">
        <v>80</v>
      </c>
      <c r="R26" s="12"/>
      <c r="S26" s="402">
        <v>7</v>
      </c>
      <c r="T26" s="402">
        <v>4</v>
      </c>
      <c r="U26" s="402">
        <v>1</v>
      </c>
      <c r="V26" s="52">
        <v>0</v>
      </c>
      <c r="W26" s="402">
        <v>13</v>
      </c>
      <c r="X26" s="52">
        <v>8</v>
      </c>
      <c r="Y26" s="12">
        <v>1</v>
      </c>
      <c r="Z26" s="12">
        <v>1</v>
      </c>
      <c r="AA26" s="52">
        <v>15</v>
      </c>
    </row>
    <row r="27" spans="1:27" ht="12.75">
      <c r="A27" s="339" t="s">
        <v>103</v>
      </c>
      <c r="B27" s="340" t="s">
        <v>334</v>
      </c>
      <c r="C27" s="345"/>
      <c r="D27" s="346"/>
      <c r="E27" s="347"/>
      <c r="F27" s="347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5"/>
      <c r="R27" s="345"/>
      <c r="S27" s="348"/>
      <c r="T27" s="348"/>
      <c r="U27" s="348"/>
      <c r="V27" s="348"/>
      <c r="W27" s="348"/>
      <c r="X27" s="348"/>
      <c r="Y27" s="345"/>
      <c r="Z27" s="345"/>
      <c r="AA27" s="348"/>
    </row>
    <row r="28" spans="1:27" s="182" customFormat="1" ht="12.75">
      <c r="A28" s="21" t="s">
        <v>51</v>
      </c>
      <c r="B28" s="51" t="s">
        <v>100</v>
      </c>
      <c r="C28" s="21" t="s">
        <v>110</v>
      </c>
      <c r="D28" s="181">
        <f>SUM(D29:D36)</f>
        <v>8</v>
      </c>
      <c r="E28" s="181">
        <f>SUM(E29:E36)</f>
        <v>1728</v>
      </c>
      <c r="F28" s="181">
        <f aca="true" t="shared" si="7" ref="F28:AA28">SUM(F29:F36)</f>
        <v>61</v>
      </c>
      <c r="G28" s="181">
        <f t="shared" si="7"/>
        <v>494</v>
      </c>
      <c r="H28" s="181">
        <f t="shared" si="7"/>
        <v>18</v>
      </c>
      <c r="I28" s="181">
        <f t="shared" si="7"/>
        <v>491</v>
      </c>
      <c r="J28" s="181">
        <f t="shared" si="7"/>
        <v>18</v>
      </c>
      <c r="K28" s="181">
        <f t="shared" si="7"/>
        <v>405</v>
      </c>
      <c r="L28" s="181">
        <f t="shared" si="7"/>
        <v>13</v>
      </c>
      <c r="M28" s="181">
        <f t="shared" si="7"/>
        <v>338</v>
      </c>
      <c r="N28" s="181">
        <f t="shared" si="7"/>
        <v>12</v>
      </c>
      <c r="O28" s="181">
        <f t="shared" si="7"/>
        <v>918</v>
      </c>
      <c r="P28" s="181">
        <f t="shared" si="7"/>
        <v>1556</v>
      </c>
      <c r="Q28" s="181">
        <f t="shared" si="7"/>
        <v>860</v>
      </c>
      <c r="R28" s="181">
        <f t="shared" si="7"/>
        <v>4</v>
      </c>
      <c r="S28" s="181">
        <f t="shared" si="7"/>
        <v>77</v>
      </c>
      <c r="T28" s="181">
        <f t="shared" si="7"/>
        <v>14</v>
      </c>
      <c r="U28" s="181">
        <f t="shared" si="7"/>
        <v>7</v>
      </c>
      <c r="V28" s="181">
        <f t="shared" si="7"/>
        <v>1</v>
      </c>
      <c r="W28" s="181">
        <f t="shared" si="7"/>
        <v>120</v>
      </c>
      <c r="X28" s="181">
        <f t="shared" si="7"/>
        <v>61</v>
      </c>
      <c r="Y28" s="181">
        <f t="shared" si="7"/>
        <v>14</v>
      </c>
      <c r="Z28" s="181">
        <f t="shared" si="7"/>
        <v>4</v>
      </c>
      <c r="AA28" s="181">
        <f t="shared" si="7"/>
        <v>171</v>
      </c>
    </row>
    <row r="29" spans="1:27" ht="12.75">
      <c r="A29" s="7">
        <v>1</v>
      </c>
      <c r="B29" s="12" t="s">
        <v>124</v>
      </c>
      <c r="C29" s="7" t="s">
        <v>109</v>
      </c>
      <c r="D29" s="7">
        <v>1</v>
      </c>
      <c r="E29" s="137">
        <f>G29+I29+K29+M29</f>
        <v>129</v>
      </c>
      <c r="F29" s="402">
        <f>H29+J29+L29+N29</f>
        <v>5</v>
      </c>
      <c r="G29" s="402">
        <v>45</v>
      </c>
      <c r="H29" s="402">
        <v>2</v>
      </c>
      <c r="I29" s="402">
        <v>37</v>
      </c>
      <c r="J29" s="402">
        <v>1</v>
      </c>
      <c r="K29" s="402">
        <v>28</v>
      </c>
      <c r="L29" s="402">
        <v>1</v>
      </c>
      <c r="M29" s="402">
        <v>19</v>
      </c>
      <c r="N29" s="402">
        <v>1</v>
      </c>
      <c r="O29" s="52">
        <v>73</v>
      </c>
      <c r="P29" s="52">
        <v>112</v>
      </c>
      <c r="Q29" s="52">
        <v>69</v>
      </c>
      <c r="R29" s="402"/>
      <c r="S29" s="402">
        <v>8</v>
      </c>
      <c r="T29" s="402"/>
      <c r="U29" s="402">
        <v>1</v>
      </c>
      <c r="V29" s="402"/>
      <c r="W29" s="402">
        <v>11</v>
      </c>
      <c r="X29" s="402">
        <v>6</v>
      </c>
      <c r="Y29" s="402">
        <v>2</v>
      </c>
      <c r="Z29" s="402">
        <v>2</v>
      </c>
      <c r="AA29" s="402">
        <v>16</v>
      </c>
    </row>
    <row r="30" spans="1:27" ht="12.75">
      <c r="A30" s="7">
        <v>2</v>
      </c>
      <c r="B30" s="12" t="s">
        <v>125</v>
      </c>
      <c r="C30" s="7" t="s">
        <v>109</v>
      </c>
      <c r="D30" s="7">
        <v>1</v>
      </c>
      <c r="E30" s="137">
        <f aca="true" t="shared" si="8" ref="E30:E36">G30+I30+K30+M30</f>
        <v>140</v>
      </c>
      <c r="F30" s="402">
        <f aca="true" t="shared" si="9" ref="F30:F36">H30+J30+L30+N30</f>
        <v>6</v>
      </c>
      <c r="G30" s="402">
        <v>40</v>
      </c>
      <c r="H30" s="402">
        <v>2</v>
      </c>
      <c r="I30" s="402">
        <v>44</v>
      </c>
      <c r="J30" s="402">
        <v>2</v>
      </c>
      <c r="K30" s="402">
        <v>33</v>
      </c>
      <c r="L30" s="402">
        <v>1</v>
      </c>
      <c r="M30" s="402">
        <v>23</v>
      </c>
      <c r="N30" s="402">
        <v>1</v>
      </c>
      <c r="O30" s="52">
        <v>82</v>
      </c>
      <c r="P30" s="52">
        <v>140</v>
      </c>
      <c r="Q30" s="52">
        <v>82</v>
      </c>
      <c r="R30" s="402">
        <v>0</v>
      </c>
      <c r="S30" s="402">
        <v>8</v>
      </c>
      <c r="T30" s="402">
        <v>1</v>
      </c>
      <c r="U30" s="402">
        <v>1</v>
      </c>
      <c r="V30" s="402"/>
      <c r="W30" s="402">
        <v>14</v>
      </c>
      <c r="X30" s="402">
        <v>8</v>
      </c>
      <c r="Y30" s="402">
        <v>1</v>
      </c>
      <c r="Z30" s="402">
        <v>0</v>
      </c>
      <c r="AA30" s="402">
        <v>20</v>
      </c>
    </row>
    <row r="31" spans="1:27" ht="12.75">
      <c r="A31" s="7">
        <v>3</v>
      </c>
      <c r="B31" s="12" t="s">
        <v>315</v>
      </c>
      <c r="C31" s="7" t="s">
        <v>109</v>
      </c>
      <c r="D31" s="7">
        <v>1</v>
      </c>
      <c r="E31" s="137">
        <f t="shared" si="8"/>
        <v>236</v>
      </c>
      <c r="F31" s="402">
        <f t="shared" si="9"/>
        <v>8</v>
      </c>
      <c r="G31" s="402">
        <v>86</v>
      </c>
      <c r="H31" s="402">
        <v>3</v>
      </c>
      <c r="I31" s="402">
        <v>56</v>
      </c>
      <c r="J31" s="402">
        <v>2</v>
      </c>
      <c r="K31" s="402">
        <v>51</v>
      </c>
      <c r="L31" s="402">
        <v>2</v>
      </c>
      <c r="M31" s="402">
        <v>43</v>
      </c>
      <c r="N31" s="402">
        <v>1</v>
      </c>
      <c r="O31" s="52">
        <v>127</v>
      </c>
      <c r="P31" s="52">
        <v>203</v>
      </c>
      <c r="Q31" s="52">
        <v>120</v>
      </c>
      <c r="R31" s="402">
        <v>1</v>
      </c>
      <c r="S31" s="402">
        <v>16</v>
      </c>
      <c r="T31" s="402">
        <v>3</v>
      </c>
      <c r="U31" s="402">
        <v>1</v>
      </c>
      <c r="V31" s="402"/>
      <c r="W31" s="402">
        <v>16</v>
      </c>
      <c r="X31" s="402">
        <v>6</v>
      </c>
      <c r="Y31" s="402">
        <v>2</v>
      </c>
      <c r="Z31" s="402">
        <v>1</v>
      </c>
      <c r="AA31" s="402">
        <v>23</v>
      </c>
    </row>
    <row r="32" spans="1:27" ht="12.75">
      <c r="A32" s="7">
        <v>4</v>
      </c>
      <c r="B32" s="12" t="s">
        <v>126</v>
      </c>
      <c r="C32" s="7" t="s">
        <v>109</v>
      </c>
      <c r="D32" s="7">
        <v>1</v>
      </c>
      <c r="E32" s="137">
        <f t="shared" si="8"/>
        <v>295</v>
      </c>
      <c r="F32" s="402">
        <f t="shared" si="9"/>
        <v>10</v>
      </c>
      <c r="G32" s="402">
        <v>93</v>
      </c>
      <c r="H32" s="402">
        <v>3</v>
      </c>
      <c r="I32" s="402">
        <v>83</v>
      </c>
      <c r="J32" s="402">
        <v>3</v>
      </c>
      <c r="K32" s="402">
        <v>70</v>
      </c>
      <c r="L32" s="402">
        <v>2</v>
      </c>
      <c r="M32" s="402">
        <v>49</v>
      </c>
      <c r="N32" s="402">
        <v>2</v>
      </c>
      <c r="O32" s="52">
        <v>149</v>
      </c>
      <c r="P32" s="52">
        <v>258</v>
      </c>
      <c r="Q32" s="52">
        <v>148</v>
      </c>
      <c r="R32" s="402">
        <v>3</v>
      </c>
      <c r="S32" s="402">
        <v>12</v>
      </c>
      <c r="T32" s="402"/>
      <c r="U32" s="402"/>
      <c r="V32" s="402"/>
      <c r="W32" s="402">
        <v>23</v>
      </c>
      <c r="X32" s="402">
        <v>10</v>
      </c>
      <c r="Y32" s="402">
        <v>1</v>
      </c>
      <c r="Z32" s="402"/>
      <c r="AA32" s="402">
        <v>29</v>
      </c>
    </row>
    <row r="33" spans="1:27" ht="12.75">
      <c r="A33" s="7">
        <v>5</v>
      </c>
      <c r="B33" s="12" t="s">
        <v>127</v>
      </c>
      <c r="C33" s="7" t="s">
        <v>109</v>
      </c>
      <c r="D33" s="7">
        <v>1</v>
      </c>
      <c r="E33" s="137">
        <f t="shared" si="8"/>
        <v>225</v>
      </c>
      <c r="F33" s="402">
        <f t="shared" si="9"/>
        <v>8</v>
      </c>
      <c r="G33" s="402">
        <v>50</v>
      </c>
      <c r="H33" s="402">
        <v>2</v>
      </c>
      <c r="I33" s="402">
        <v>76</v>
      </c>
      <c r="J33" s="402">
        <v>3</v>
      </c>
      <c r="K33" s="402">
        <v>59</v>
      </c>
      <c r="L33" s="402">
        <v>2</v>
      </c>
      <c r="M33" s="402">
        <v>40</v>
      </c>
      <c r="N33" s="402">
        <v>1</v>
      </c>
      <c r="O33" s="52">
        <v>117</v>
      </c>
      <c r="P33" s="52">
        <v>233</v>
      </c>
      <c r="Q33" s="52">
        <v>114</v>
      </c>
      <c r="R33" s="402" t="s">
        <v>300</v>
      </c>
      <c r="S33" s="402">
        <v>6</v>
      </c>
      <c r="T33" s="402">
        <v>2</v>
      </c>
      <c r="U33" s="402">
        <v>1</v>
      </c>
      <c r="V33" s="402"/>
      <c r="W33" s="402">
        <v>13</v>
      </c>
      <c r="X33" s="402">
        <v>6</v>
      </c>
      <c r="Y33" s="402">
        <v>2</v>
      </c>
      <c r="Z33" s="402"/>
      <c r="AA33" s="402">
        <v>19</v>
      </c>
    </row>
    <row r="34" spans="1:27" ht="12.75">
      <c r="A34" s="7">
        <v>6</v>
      </c>
      <c r="B34" s="12" t="s">
        <v>154</v>
      </c>
      <c r="C34" s="7" t="s">
        <v>109</v>
      </c>
      <c r="D34" s="7">
        <v>1</v>
      </c>
      <c r="E34" s="137">
        <f t="shared" si="8"/>
        <v>204</v>
      </c>
      <c r="F34" s="402">
        <f t="shared" si="9"/>
        <v>8</v>
      </c>
      <c r="G34" s="402">
        <v>48</v>
      </c>
      <c r="H34" s="402">
        <v>2</v>
      </c>
      <c r="I34" s="402">
        <v>60</v>
      </c>
      <c r="J34" s="402">
        <v>2</v>
      </c>
      <c r="K34" s="402">
        <v>50</v>
      </c>
      <c r="L34" s="402">
        <v>2</v>
      </c>
      <c r="M34" s="402">
        <v>46</v>
      </c>
      <c r="N34" s="402">
        <v>2</v>
      </c>
      <c r="O34" s="52">
        <v>117</v>
      </c>
      <c r="P34" s="52">
        <v>193</v>
      </c>
      <c r="Q34" s="52">
        <v>114</v>
      </c>
      <c r="R34" s="402">
        <v>0</v>
      </c>
      <c r="S34" s="402">
        <v>7</v>
      </c>
      <c r="T34" s="402">
        <v>5</v>
      </c>
      <c r="U34" s="402">
        <v>1</v>
      </c>
      <c r="V34" s="402">
        <v>1</v>
      </c>
      <c r="W34" s="402">
        <v>14</v>
      </c>
      <c r="X34" s="402">
        <v>11</v>
      </c>
      <c r="Y34" s="402">
        <v>1</v>
      </c>
      <c r="Z34" s="402">
        <v>0</v>
      </c>
      <c r="AA34" s="402">
        <v>19</v>
      </c>
    </row>
    <row r="35" spans="1:27" ht="12.75">
      <c r="A35" s="7">
        <v>7</v>
      </c>
      <c r="B35" s="12" t="s">
        <v>128</v>
      </c>
      <c r="C35" s="7" t="s">
        <v>109</v>
      </c>
      <c r="D35" s="7">
        <v>1</v>
      </c>
      <c r="E35" s="137">
        <f t="shared" si="8"/>
        <v>133</v>
      </c>
      <c r="F35" s="402">
        <f t="shared" si="9"/>
        <v>5</v>
      </c>
      <c r="G35" s="402">
        <v>37</v>
      </c>
      <c r="H35" s="402">
        <v>1</v>
      </c>
      <c r="I35" s="402">
        <v>42</v>
      </c>
      <c r="J35" s="402">
        <v>2</v>
      </c>
      <c r="K35" s="402">
        <v>30</v>
      </c>
      <c r="L35" s="402">
        <v>1</v>
      </c>
      <c r="M35" s="402">
        <v>24</v>
      </c>
      <c r="N35" s="402">
        <v>1</v>
      </c>
      <c r="O35" s="52">
        <v>79</v>
      </c>
      <c r="P35" s="52">
        <v>137</v>
      </c>
      <c r="Q35" s="52">
        <v>68</v>
      </c>
      <c r="R35" s="52"/>
      <c r="S35" s="52">
        <v>10</v>
      </c>
      <c r="T35" s="52">
        <v>2</v>
      </c>
      <c r="U35" s="52">
        <v>1</v>
      </c>
      <c r="V35" s="52">
        <v>0</v>
      </c>
      <c r="W35" s="402">
        <v>12</v>
      </c>
      <c r="X35" s="402">
        <v>3</v>
      </c>
      <c r="Y35" s="402">
        <v>3</v>
      </c>
      <c r="Z35" s="402">
        <v>1</v>
      </c>
      <c r="AA35" s="402">
        <v>20</v>
      </c>
    </row>
    <row r="36" spans="1:27" ht="12.75">
      <c r="A36" s="7">
        <v>8</v>
      </c>
      <c r="B36" s="12" t="s">
        <v>129</v>
      </c>
      <c r="C36" s="7" t="s">
        <v>109</v>
      </c>
      <c r="D36" s="7">
        <v>1</v>
      </c>
      <c r="E36" s="137">
        <f t="shared" si="8"/>
        <v>366</v>
      </c>
      <c r="F36" s="402">
        <f t="shared" si="9"/>
        <v>11</v>
      </c>
      <c r="G36" s="402">
        <v>95</v>
      </c>
      <c r="H36" s="402">
        <v>3</v>
      </c>
      <c r="I36" s="402">
        <v>93</v>
      </c>
      <c r="J36" s="402">
        <v>3</v>
      </c>
      <c r="K36" s="402">
        <v>84</v>
      </c>
      <c r="L36" s="402">
        <v>2</v>
      </c>
      <c r="M36" s="402">
        <v>94</v>
      </c>
      <c r="N36" s="402">
        <v>3</v>
      </c>
      <c r="O36" s="52">
        <v>174</v>
      </c>
      <c r="P36" s="52">
        <v>280</v>
      </c>
      <c r="Q36" s="52">
        <v>145</v>
      </c>
      <c r="R36" s="52"/>
      <c r="S36" s="52">
        <v>10</v>
      </c>
      <c r="T36" s="52">
        <v>1</v>
      </c>
      <c r="U36" s="52">
        <v>1</v>
      </c>
      <c r="V36" s="52">
        <v>0</v>
      </c>
      <c r="W36" s="402">
        <v>17</v>
      </c>
      <c r="X36" s="402">
        <v>11</v>
      </c>
      <c r="Y36" s="402">
        <v>2</v>
      </c>
      <c r="Z36" s="402">
        <v>0</v>
      </c>
      <c r="AA36" s="402">
        <f>6+W36+Y36</f>
        <v>25</v>
      </c>
    </row>
    <row r="37" spans="1:27" s="182" customFormat="1" ht="12.75">
      <c r="A37" s="21" t="s">
        <v>52</v>
      </c>
      <c r="B37" s="51" t="s">
        <v>271</v>
      </c>
      <c r="C37" s="21"/>
      <c r="D37" s="291" t="s">
        <v>341</v>
      </c>
      <c r="E37" s="181">
        <f>SUM(E38:E48)</f>
        <v>4451</v>
      </c>
      <c r="F37" s="181">
        <f aca="true" t="shared" si="10" ref="F37:AA37">SUM(F38:F48)</f>
        <v>125</v>
      </c>
      <c r="G37" s="181">
        <f t="shared" si="10"/>
        <v>1223</v>
      </c>
      <c r="H37" s="181">
        <f t="shared" si="10"/>
        <v>33</v>
      </c>
      <c r="I37" s="181">
        <f t="shared" si="10"/>
        <v>1236</v>
      </c>
      <c r="J37" s="181">
        <f t="shared" si="10"/>
        <v>33</v>
      </c>
      <c r="K37" s="181">
        <f t="shared" si="10"/>
        <v>1023</v>
      </c>
      <c r="L37" s="181">
        <f t="shared" si="10"/>
        <v>30</v>
      </c>
      <c r="M37" s="181">
        <f t="shared" si="10"/>
        <v>969</v>
      </c>
      <c r="N37" s="181">
        <f t="shared" si="10"/>
        <v>29</v>
      </c>
      <c r="O37" s="181">
        <f t="shared" si="10"/>
        <v>2222</v>
      </c>
      <c r="P37" s="181">
        <f t="shared" si="10"/>
        <v>2991.2</v>
      </c>
      <c r="Q37" s="181">
        <f t="shared" si="10"/>
        <v>1233</v>
      </c>
      <c r="R37" s="181">
        <f t="shared" si="10"/>
        <v>1</v>
      </c>
      <c r="S37" s="181">
        <f t="shared" si="10"/>
        <v>76</v>
      </c>
      <c r="T37" s="181">
        <f t="shared" si="10"/>
        <v>16</v>
      </c>
      <c r="U37" s="181">
        <f t="shared" si="10"/>
        <v>9</v>
      </c>
      <c r="V37" s="181">
        <f t="shared" si="10"/>
        <v>0</v>
      </c>
      <c r="W37" s="181">
        <f t="shared" si="10"/>
        <v>212</v>
      </c>
      <c r="X37" s="181">
        <f t="shared" si="10"/>
        <v>125</v>
      </c>
      <c r="Y37" s="181">
        <f t="shared" si="10"/>
        <v>16</v>
      </c>
      <c r="Z37" s="181">
        <f t="shared" si="10"/>
        <v>6</v>
      </c>
      <c r="AA37" s="181">
        <f t="shared" si="10"/>
        <v>267</v>
      </c>
    </row>
    <row r="38" spans="1:27" ht="12.75">
      <c r="A38" s="7">
        <v>1</v>
      </c>
      <c r="B38" s="12" t="s">
        <v>303</v>
      </c>
      <c r="C38" s="21"/>
      <c r="D38" s="438" t="s">
        <v>212</v>
      </c>
      <c r="E38" s="137">
        <f>G38+I38+K38+M38</f>
        <v>1089</v>
      </c>
      <c r="F38" s="402">
        <f>H38+J38+L38+N38</f>
        <v>27</v>
      </c>
      <c r="G38" s="52">
        <v>280</v>
      </c>
      <c r="H38" s="439">
        <v>7</v>
      </c>
      <c r="I38" s="52">
        <v>279</v>
      </c>
      <c r="J38" s="439">
        <v>7</v>
      </c>
      <c r="K38" s="52">
        <v>259</v>
      </c>
      <c r="L38" s="439">
        <v>6</v>
      </c>
      <c r="M38" s="52">
        <v>271</v>
      </c>
      <c r="N38" s="439">
        <v>7</v>
      </c>
      <c r="O38" s="52">
        <v>543</v>
      </c>
      <c r="P38" s="52">
        <v>545</v>
      </c>
      <c r="Q38" s="52">
        <v>10</v>
      </c>
      <c r="R38" s="401"/>
      <c r="S38" s="399">
        <v>16</v>
      </c>
      <c r="T38" s="399">
        <v>2</v>
      </c>
      <c r="U38" s="399">
        <v>1</v>
      </c>
      <c r="V38" s="400">
        <v>0</v>
      </c>
      <c r="W38" s="399">
        <v>54</v>
      </c>
      <c r="X38" s="399">
        <v>33</v>
      </c>
      <c r="Y38" s="399">
        <v>2</v>
      </c>
      <c r="Z38" s="399">
        <v>1</v>
      </c>
      <c r="AA38" s="399">
        <v>60</v>
      </c>
    </row>
    <row r="39" spans="1:27" ht="12.75">
      <c r="A39" s="7">
        <v>2</v>
      </c>
      <c r="B39" s="12" t="s">
        <v>304</v>
      </c>
      <c r="C39" s="7"/>
      <c r="D39" s="153" t="s">
        <v>212</v>
      </c>
      <c r="E39" s="137">
        <f aca="true" t="shared" si="11" ref="E39:F41">G39+I39+K39+M39</f>
        <v>911</v>
      </c>
      <c r="F39" s="402">
        <f t="shared" si="11"/>
        <v>23</v>
      </c>
      <c r="G39" s="52">
        <v>235</v>
      </c>
      <c r="H39" s="402">
        <v>6</v>
      </c>
      <c r="I39" s="52">
        <v>239</v>
      </c>
      <c r="J39" s="402">
        <v>6</v>
      </c>
      <c r="K39" s="52">
        <v>217</v>
      </c>
      <c r="L39" s="402">
        <v>5</v>
      </c>
      <c r="M39" s="52">
        <v>220</v>
      </c>
      <c r="N39" s="402">
        <v>6</v>
      </c>
      <c r="O39" s="52">
        <v>428</v>
      </c>
      <c r="P39" s="52">
        <v>800</v>
      </c>
      <c r="Q39" s="52">
        <v>385</v>
      </c>
      <c r="R39" s="12"/>
      <c r="S39" s="7">
        <v>11</v>
      </c>
      <c r="T39" s="7">
        <v>2</v>
      </c>
      <c r="U39" s="7">
        <v>1</v>
      </c>
      <c r="V39" s="52">
        <v>0</v>
      </c>
      <c r="W39" s="7">
        <v>46</v>
      </c>
      <c r="X39" s="7">
        <v>24</v>
      </c>
      <c r="Y39" s="7">
        <v>2</v>
      </c>
      <c r="Z39" s="7">
        <v>0</v>
      </c>
      <c r="AA39" s="7">
        <v>52</v>
      </c>
    </row>
    <row r="40" spans="1:27" ht="12.75">
      <c r="A40" s="7">
        <v>3</v>
      </c>
      <c r="B40" s="12" t="s">
        <v>305</v>
      </c>
      <c r="C40" s="7"/>
      <c r="D40" s="438" t="s">
        <v>212</v>
      </c>
      <c r="E40" s="137">
        <f t="shared" si="11"/>
        <v>185</v>
      </c>
      <c r="F40" s="402">
        <f t="shared" si="11"/>
        <v>7</v>
      </c>
      <c r="G40" s="52">
        <v>54</v>
      </c>
      <c r="H40" s="402">
        <v>2</v>
      </c>
      <c r="I40" s="52">
        <v>62</v>
      </c>
      <c r="J40" s="402">
        <v>2</v>
      </c>
      <c r="K40" s="52">
        <v>46</v>
      </c>
      <c r="L40" s="402">
        <v>2</v>
      </c>
      <c r="M40" s="52">
        <v>23</v>
      </c>
      <c r="N40" s="402">
        <v>1</v>
      </c>
      <c r="O40" s="52">
        <v>100</v>
      </c>
      <c r="P40" s="52">
        <v>2</v>
      </c>
      <c r="Q40" s="52">
        <v>1</v>
      </c>
      <c r="R40" s="12"/>
      <c r="S40" s="7">
        <v>7</v>
      </c>
      <c r="T40" s="7">
        <v>4</v>
      </c>
      <c r="U40" s="7">
        <v>1</v>
      </c>
      <c r="V40" s="52">
        <v>0</v>
      </c>
      <c r="W40" s="7">
        <v>13</v>
      </c>
      <c r="X40" s="7">
        <v>7</v>
      </c>
      <c r="Y40" s="7">
        <v>2</v>
      </c>
      <c r="Z40" s="7">
        <v>1</v>
      </c>
      <c r="AA40" s="7">
        <v>19</v>
      </c>
    </row>
    <row r="41" spans="1:27" ht="12.75">
      <c r="A41" s="7">
        <v>4</v>
      </c>
      <c r="B41" s="12" t="s">
        <v>313</v>
      </c>
      <c r="C41" s="12"/>
      <c r="D41" s="153" t="s">
        <v>299</v>
      </c>
      <c r="E41" s="137">
        <f t="shared" si="11"/>
        <v>102</v>
      </c>
      <c r="F41" s="402">
        <f t="shared" si="11"/>
        <v>4</v>
      </c>
      <c r="G41" s="52">
        <v>32</v>
      </c>
      <c r="H41" s="402">
        <v>1</v>
      </c>
      <c r="I41" s="52">
        <v>32</v>
      </c>
      <c r="J41" s="402">
        <v>1</v>
      </c>
      <c r="K41" s="52">
        <v>22</v>
      </c>
      <c r="L41" s="402">
        <v>1</v>
      </c>
      <c r="M41" s="52">
        <v>16</v>
      </c>
      <c r="N41" s="402">
        <v>1</v>
      </c>
      <c r="O41" s="52">
        <v>56</v>
      </c>
      <c r="P41" s="52">
        <v>91</v>
      </c>
      <c r="Q41" s="52">
        <v>55</v>
      </c>
      <c r="R41" s="52"/>
      <c r="S41" s="7">
        <v>4</v>
      </c>
      <c r="T41" s="7">
        <v>0</v>
      </c>
      <c r="U41" s="7">
        <v>1</v>
      </c>
      <c r="V41" s="52"/>
      <c r="W41" s="7">
        <v>8</v>
      </c>
      <c r="X41" s="7">
        <v>6</v>
      </c>
      <c r="Y41" s="7">
        <v>3</v>
      </c>
      <c r="Z41" s="7">
        <v>1</v>
      </c>
      <c r="AA41" s="7">
        <v>15</v>
      </c>
    </row>
    <row r="42" spans="1:27" ht="12.75">
      <c r="A42" s="7">
        <v>5</v>
      </c>
      <c r="B42" s="12" t="s">
        <v>306</v>
      </c>
      <c r="C42" s="12"/>
      <c r="D42" s="438" t="s">
        <v>299</v>
      </c>
      <c r="E42" s="137">
        <f aca="true" t="shared" si="12" ref="E42:F46">G42+I42+K42+M42</f>
        <v>216</v>
      </c>
      <c r="F42" s="402">
        <f t="shared" si="12"/>
        <v>8</v>
      </c>
      <c r="G42" s="52">
        <v>61</v>
      </c>
      <c r="H42" s="402">
        <v>2</v>
      </c>
      <c r="I42" s="52">
        <v>57</v>
      </c>
      <c r="J42" s="402">
        <v>2</v>
      </c>
      <c r="K42" s="52">
        <v>47</v>
      </c>
      <c r="L42" s="402">
        <v>2</v>
      </c>
      <c r="M42" s="52">
        <v>51</v>
      </c>
      <c r="N42" s="402">
        <v>2</v>
      </c>
      <c r="O42" s="52">
        <v>127</v>
      </c>
      <c r="P42" s="52">
        <v>203</v>
      </c>
      <c r="Q42" s="52">
        <v>120</v>
      </c>
      <c r="R42" s="52">
        <v>1</v>
      </c>
      <c r="S42" s="7">
        <v>8</v>
      </c>
      <c r="T42" s="7">
        <v>3</v>
      </c>
      <c r="U42" s="7">
        <v>1</v>
      </c>
      <c r="V42" s="52"/>
      <c r="W42" s="7">
        <v>16</v>
      </c>
      <c r="X42" s="7">
        <v>6</v>
      </c>
      <c r="Y42" s="7">
        <v>3</v>
      </c>
      <c r="Z42" s="7">
        <v>2</v>
      </c>
      <c r="AA42" s="7">
        <v>23</v>
      </c>
    </row>
    <row r="43" spans="1:27" ht="12.75">
      <c r="A43" s="7">
        <v>6</v>
      </c>
      <c r="B43" s="12" t="s">
        <v>308</v>
      </c>
      <c r="C43" s="12"/>
      <c r="D43" s="153" t="s">
        <v>212</v>
      </c>
      <c r="E43" s="137">
        <f t="shared" si="12"/>
        <v>569</v>
      </c>
      <c r="F43" s="402">
        <f t="shared" si="12"/>
        <v>15</v>
      </c>
      <c r="G43" s="52">
        <v>203</v>
      </c>
      <c r="H43" s="402">
        <v>5</v>
      </c>
      <c r="I43" s="52">
        <v>166</v>
      </c>
      <c r="J43" s="402">
        <v>4</v>
      </c>
      <c r="K43" s="52">
        <v>103</v>
      </c>
      <c r="L43" s="402">
        <v>3</v>
      </c>
      <c r="M43" s="52">
        <v>97</v>
      </c>
      <c r="N43" s="402">
        <v>3</v>
      </c>
      <c r="O43" s="52">
        <f>E43/2</f>
        <v>284.5</v>
      </c>
      <c r="P43" s="52">
        <f>E43*80%</f>
        <v>455.20000000000005</v>
      </c>
      <c r="Q43" s="52">
        <v>235</v>
      </c>
      <c r="R43" s="12"/>
      <c r="S43" s="7">
        <v>8</v>
      </c>
      <c r="T43" s="7"/>
      <c r="U43" s="7">
        <v>1</v>
      </c>
      <c r="V43" s="12"/>
      <c r="W43" s="7">
        <v>28</v>
      </c>
      <c r="X43" s="7">
        <v>18</v>
      </c>
      <c r="Y43" s="7">
        <v>1</v>
      </c>
      <c r="Z43" s="7"/>
      <c r="AA43" s="7">
        <v>34</v>
      </c>
    </row>
    <row r="44" spans="1:27" ht="12.75">
      <c r="A44" s="7">
        <v>7</v>
      </c>
      <c r="B44" s="12" t="s">
        <v>309</v>
      </c>
      <c r="C44" s="12"/>
      <c r="D44" s="153" t="s">
        <v>212</v>
      </c>
      <c r="E44" s="137">
        <f t="shared" si="12"/>
        <v>117</v>
      </c>
      <c r="F44" s="402">
        <f t="shared" si="12"/>
        <v>4</v>
      </c>
      <c r="G44" s="52">
        <v>31</v>
      </c>
      <c r="H44" s="402">
        <v>1</v>
      </c>
      <c r="I44" s="52">
        <v>43</v>
      </c>
      <c r="J44" s="402">
        <v>1</v>
      </c>
      <c r="K44" s="52">
        <v>22</v>
      </c>
      <c r="L44" s="402">
        <v>1</v>
      </c>
      <c r="M44" s="52">
        <v>21</v>
      </c>
      <c r="N44" s="402">
        <v>1</v>
      </c>
      <c r="O44" s="52">
        <f>E44/2</f>
        <v>58.5</v>
      </c>
      <c r="P44" s="52">
        <v>112</v>
      </c>
      <c r="Q44" s="52">
        <v>56</v>
      </c>
      <c r="R44" s="12"/>
      <c r="S44" s="7">
        <v>5</v>
      </c>
      <c r="T44" s="7"/>
      <c r="U44" s="7">
        <v>1</v>
      </c>
      <c r="V44" s="12"/>
      <c r="W44" s="7">
        <v>9</v>
      </c>
      <c r="X44" s="7">
        <v>5</v>
      </c>
      <c r="Y44" s="7">
        <v>1</v>
      </c>
      <c r="Z44" s="7"/>
      <c r="AA44" s="7">
        <v>15</v>
      </c>
    </row>
    <row r="45" spans="1:27" ht="12.75">
      <c r="A45" s="7">
        <v>8</v>
      </c>
      <c r="B45" s="12" t="s">
        <v>314</v>
      </c>
      <c r="C45" s="12"/>
      <c r="D45" s="153" t="s">
        <v>299</v>
      </c>
      <c r="E45" s="137">
        <f t="shared" si="12"/>
        <v>204</v>
      </c>
      <c r="F45" s="402">
        <f t="shared" si="12"/>
        <v>8</v>
      </c>
      <c r="G45" s="52">
        <v>52</v>
      </c>
      <c r="H45" s="402">
        <v>2</v>
      </c>
      <c r="I45" s="52">
        <v>63</v>
      </c>
      <c r="J45" s="402">
        <v>2</v>
      </c>
      <c r="K45" s="52">
        <v>50</v>
      </c>
      <c r="L45" s="402">
        <v>2</v>
      </c>
      <c r="M45" s="52">
        <v>39</v>
      </c>
      <c r="N45" s="402">
        <v>2</v>
      </c>
      <c r="O45" s="52">
        <v>86</v>
      </c>
      <c r="P45" s="52">
        <v>10</v>
      </c>
      <c r="Q45" s="52">
        <v>2</v>
      </c>
      <c r="R45" s="12">
        <v>0</v>
      </c>
      <c r="S45" s="7">
        <v>7</v>
      </c>
      <c r="T45" s="7">
        <v>4</v>
      </c>
      <c r="U45" s="7">
        <v>1</v>
      </c>
      <c r="V45" s="440">
        <v>0</v>
      </c>
      <c r="W45" s="7">
        <v>12</v>
      </c>
      <c r="X45" s="7">
        <v>6</v>
      </c>
      <c r="Y45" s="7">
        <v>1</v>
      </c>
      <c r="Z45" s="7">
        <v>0</v>
      </c>
      <c r="AA45" s="7">
        <v>17</v>
      </c>
    </row>
    <row r="46" spans="1:27" ht="12.75">
      <c r="A46" s="7">
        <v>9</v>
      </c>
      <c r="B46" s="12" t="s">
        <v>311</v>
      </c>
      <c r="C46" s="12"/>
      <c r="D46" s="153" t="s">
        <v>299</v>
      </c>
      <c r="E46" s="137">
        <f t="shared" si="12"/>
        <v>472</v>
      </c>
      <c r="F46" s="402">
        <f t="shared" si="12"/>
        <v>13</v>
      </c>
      <c r="G46" s="52">
        <v>109</v>
      </c>
      <c r="H46" s="402">
        <v>3</v>
      </c>
      <c r="I46" s="52">
        <v>118</v>
      </c>
      <c r="J46" s="402">
        <v>3</v>
      </c>
      <c r="K46" s="52">
        <v>125</v>
      </c>
      <c r="L46" s="402">
        <v>4</v>
      </c>
      <c r="M46" s="52">
        <v>120</v>
      </c>
      <c r="N46" s="402">
        <v>3</v>
      </c>
      <c r="O46" s="52">
        <v>249</v>
      </c>
      <c r="P46" s="52">
        <v>476</v>
      </c>
      <c r="Q46" s="52">
        <v>249</v>
      </c>
      <c r="R46" s="22">
        <v>0</v>
      </c>
      <c r="S46" s="441">
        <v>10</v>
      </c>
      <c r="T46" s="441">
        <v>1</v>
      </c>
      <c r="U46" s="7">
        <v>1</v>
      </c>
      <c r="V46" s="441">
        <v>0</v>
      </c>
      <c r="W46" s="7">
        <v>26</v>
      </c>
      <c r="X46" s="7">
        <v>20</v>
      </c>
      <c r="Y46" s="7">
        <v>1</v>
      </c>
      <c r="Z46" s="7">
        <v>1</v>
      </c>
      <c r="AA46" s="7">
        <v>32</v>
      </c>
    </row>
    <row r="47" spans="1:27" ht="12.75">
      <c r="A47" s="7">
        <v>10</v>
      </c>
      <c r="B47" s="12" t="s">
        <v>332</v>
      </c>
      <c r="C47" s="12"/>
      <c r="D47" s="153" t="s">
        <v>299</v>
      </c>
      <c r="E47" s="137">
        <f>G47+I47+K47+M47</f>
        <v>499</v>
      </c>
      <c r="F47" s="402">
        <f>H47+J47+L47+N47</f>
        <v>12</v>
      </c>
      <c r="G47" s="52">
        <v>136</v>
      </c>
      <c r="H47" s="402">
        <v>3</v>
      </c>
      <c r="I47" s="52">
        <v>152</v>
      </c>
      <c r="J47" s="402">
        <v>4</v>
      </c>
      <c r="K47" s="52">
        <v>117</v>
      </c>
      <c r="L47" s="402">
        <v>3</v>
      </c>
      <c r="M47" s="52">
        <v>94</v>
      </c>
      <c r="N47" s="402">
        <v>2</v>
      </c>
      <c r="O47" s="52">
        <f>490/2</f>
        <v>245</v>
      </c>
      <c r="P47" s="52">
        <v>210</v>
      </c>
      <c r="Q47" s="52">
        <v>75</v>
      </c>
      <c r="R47" s="22"/>
      <c r="S47" s="441"/>
      <c r="T47" s="441"/>
      <c r="U47" s="7"/>
      <c r="V47" s="441"/>
      <c r="W47" s="7"/>
      <c r="X47" s="7"/>
      <c r="Y47" s="7"/>
      <c r="Z47" s="7"/>
      <c r="AA47" s="7"/>
    </row>
    <row r="48" spans="1:30" ht="12.75">
      <c r="A48" s="7">
        <v>11</v>
      </c>
      <c r="B48" s="12" t="s">
        <v>340</v>
      </c>
      <c r="C48" s="12"/>
      <c r="D48" s="153" t="s">
        <v>212</v>
      </c>
      <c r="E48" s="137">
        <f>G48+I48+K48+M48</f>
        <v>87</v>
      </c>
      <c r="F48" s="7">
        <f>H48+J48+L48+N48</f>
        <v>4</v>
      </c>
      <c r="G48" s="52">
        <v>30</v>
      </c>
      <c r="H48" s="7">
        <v>1</v>
      </c>
      <c r="I48" s="52">
        <v>25</v>
      </c>
      <c r="J48" s="7">
        <v>1</v>
      </c>
      <c r="K48" s="52">
        <v>15</v>
      </c>
      <c r="L48" s="7">
        <v>1</v>
      </c>
      <c r="M48" s="52">
        <v>17</v>
      </c>
      <c r="N48" s="7">
        <v>1</v>
      </c>
      <c r="O48" s="52">
        <v>45</v>
      </c>
      <c r="P48" s="52">
        <v>87</v>
      </c>
      <c r="Q48" s="52">
        <v>45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4"/>
      <c r="AC48" s="14"/>
      <c r="AD48" s="14"/>
    </row>
    <row r="49" spans="2:30" ht="15.75" customHeight="1" hidden="1">
      <c r="B49" s="19"/>
      <c r="C49" s="19"/>
      <c r="D49" s="19"/>
      <c r="F49" s="19" t="s">
        <v>73</v>
      </c>
      <c r="P49" s="2"/>
      <c r="S49" s="2"/>
      <c r="T49" s="2"/>
      <c r="U49" s="2"/>
      <c r="V49" s="18" t="s">
        <v>63</v>
      </c>
      <c r="W49" s="2"/>
      <c r="X49" s="2"/>
      <c r="Y49" s="2"/>
      <c r="Z49" s="2"/>
      <c r="AA49" s="2"/>
      <c r="AB49" s="2"/>
      <c r="AC49" s="2"/>
      <c r="AD49" s="2"/>
    </row>
    <row r="50" spans="16:30" ht="15.75" customHeight="1" hidden="1">
      <c r="P50" s="2"/>
      <c r="S50" s="2"/>
      <c r="T50" s="2"/>
      <c r="U50" s="2"/>
      <c r="V50" s="18" t="s">
        <v>182</v>
      </c>
      <c r="W50" s="2"/>
      <c r="X50" s="2"/>
      <c r="Y50" s="2"/>
      <c r="Z50" s="2"/>
      <c r="AA50" s="2"/>
      <c r="AB50" s="2"/>
      <c r="AC50" s="2"/>
      <c r="AD50" s="2"/>
    </row>
    <row r="51" spans="5:30" ht="15.75" customHeight="1" hidden="1">
      <c r="E51" s="288"/>
      <c r="K51" s="288"/>
      <c r="P51" s="16"/>
      <c r="S51" s="16"/>
      <c r="T51" s="16"/>
      <c r="U51" s="16"/>
      <c r="V51" s="183"/>
      <c r="W51" s="16"/>
      <c r="X51" s="16"/>
      <c r="Y51" s="16"/>
      <c r="Z51" s="16"/>
      <c r="AA51" s="16"/>
      <c r="AB51" s="16"/>
      <c r="AC51" s="16"/>
      <c r="AD51" s="16"/>
    </row>
    <row r="52" spans="16:30" ht="15.75" customHeight="1" hidden="1">
      <c r="P52" s="16"/>
      <c r="S52" s="16"/>
      <c r="T52" s="16"/>
      <c r="U52" s="16"/>
      <c r="V52" s="183"/>
      <c r="W52" s="16"/>
      <c r="X52" s="16"/>
      <c r="Y52" s="16"/>
      <c r="Z52" s="16"/>
      <c r="AA52" s="16"/>
      <c r="AB52" s="16"/>
      <c r="AC52" s="16"/>
      <c r="AD52" s="16"/>
    </row>
    <row r="53" spans="2:30" ht="15.75" customHeight="1" hidden="1">
      <c r="B53" s="14"/>
      <c r="C53" s="14"/>
      <c r="D53" s="14"/>
      <c r="F53" s="14" t="s">
        <v>74</v>
      </c>
      <c r="P53" s="16"/>
      <c r="S53" s="13"/>
      <c r="T53" s="13"/>
      <c r="U53" s="13"/>
      <c r="V53" s="13" t="s">
        <v>72</v>
      </c>
      <c r="W53" s="16"/>
      <c r="X53" s="16"/>
      <c r="Y53" s="16"/>
      <c r="Z53" s="16"/>
      <c r="AA53" s="16"/>
      <c r="AB53" s="16"/>
      <c r="AC53" s="16"/>
      <c r="AD53" s="16"/>
    </row>
    <row r="54" spans="2:30" ht="15.75" customHeight="1">
      <c r="B54" s="14"/>
      <c r="C54" s="14"/>
      <c r="D54" s="14"/>
      <c r="F54" s="14"/>
      <c r="P54" s="16"/>
      <c r="S54" s="13"/>
      <c r="T54" s="13"/>
      <c r="U54" s="13"/>
      <c r="V54" s="13"/>
      <c r="W54" s="14" t="s">
        <v>318</v>
      </c>
      <c r="X54" s="16"/>
      <c r="Y54" s="16"/>
      <c r="Z54" s="16"/>
      <c r="AA54" s="16"/>
      <c r="AB54" s="16"/>
      <c r="AC54" s="16"/>
      <c r="AD54" s="16"/>
    </row>
    <row r="55" spans="4:30" ht="13.5">
      <c r="D55" s="19" t="s">
        <v>361</v>
      </c>
      <c r="P55" s="15"/>
      <c r="Q55" s="15"/>
      <c r="R55" s="15"/>
      <c r="S55" s="15"/>
      <c r="T55" s="15"/>
      <c r="U55" s="15"/>
      <c r="W55" s="2" t="s">
        <v>63</v>
      </c>
      <c r="X55" s="15"/>
      <c r="Y55" s="15"/>
      <c r="Z55" s="15"/>
      <c r="AA55" s="15"/>
      <c r="AB55" s="15"/>
      <c r="AC55" s="15"/>
      <c r="AD55" s="15"/>
    </row>
    <row r="56" spans="4:23" ht="12.75">
      <c r="D56" s="19"/>
      <c r="W56" s="2" t="s">
        <v>182</v>
      </c>
    </row>
    <row r="57" spans="4:23" ht="12.75">
      <c r="D57" s="19"/>
      <c r="W57" s="2"/>
    </row>
    <row r="58" spans="4:23" ht="12.75">
      <c r="D58" s="19"/>
      <c r="K58" s="6" t="s">
        <v>358</v>
      </c>
      <c r="W58" s="16"/>
    </row>
    <row r="59" spans="4:23" ht="15.75">
      <c r="D59" s="19" t="s">
        <v>362</v>
      </c>
      <c r="W59" s="13" t="s">
        <v>72</v>
      </c>
    </row>
    <row r="60" ht="12.75">
      <c r="W60" s="16"/>
    </row>
  </sheetData>
  <sheetProtection/>
  <mergeCells count="23">
    <mergeCell ref="S3:V4"/>
    <mergeCell ref="Z4:Z5"/>
    <mergeCell ref="M4:N4"/>
    <mergeCell ref="R3:R5"/>
    <mergeCell ref="G3:N3"/>
    <mergeCell ref="C3:C5"/>
    <mergeCell ref="O3:O5"/>
    <mergeCell ref="AA3:AA5"/>
    <mergeCell ref="W4:W5"/>
    <mergeCell ref="G4:H4"/>
    <mergeCell ref="I4:J4"/>
    <mergeCell ref="K4:L4"/>
    <mergeCell ref="W3:X3"/>
    <mergeCell ref="Y4:Y5"/>
    <mergeCell ref="P3:Q4"/>
    <mergeCell ref="X4:X5"/>
    <mergeCell ref="Y3:Z3"/>
    <mergeCell ref="A1:G1"/>
    <mergeCell ref="A2:G2"/>
    <mergeCell ref="A3:A5"/>
    <mergeCell ref="B3:B5"/>
    <mergeCell ref="E3:F4"/>
    <mergeCell ref="D3:D5"/>
  </mergeCells>
  <printOptions horizontalCentered="1"/>
  <pageMargins left="0.03937007874015748" right="0.03937007874015748" top="0" bottom="0" header="0.5118110236220472" footer="0.5118110236220472"/>
  <pageSetup errors="blank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I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2" sqref="C42:C49"/>
    </sheetView>
  </sheetViews>
  <sheetFormatPr defaultColWidth="8.88671875" defaultRowHeight="18.75"/>
  <cols>
    <col min="1" max="1" width="2.77734375" style="6" customWidth="1"/>
    <col min="2" max="2" width="17.4453125" style="6" bestFit="1" customWidth="1"/>
    <col min="3" max="3" width="3.88671875" style="6" customWidth="1"/>
    <col min="4" max="4" width="5.21484375" style="6" customWidth="1"/>
    <col min="5" max="5" width="3.6640625" style="6" bestFit="1" customWidth="1"/>
    <col min="6" max="6" width="4.88671875" style="6" hidden="1" customWidth="1"/>
    <col min="7" max="7" width="3.5546875" style="6" hidden="1" customWidth="1"/>
    <col min="8" max="8" width="4.5546875" style="6" bestFit="1" customWidth="1"/>
    <col min="9" max="9" width="3.77734375" style="6" bestFit="1" customWidth="1"/>
    <col min="10" max="10" width="4.5546875" style="6" bestFit="1" customWidth="1"/>
    <col min="11" max="11" width="3.77734375" style="6" bestFit="1" customWidth="1"/>
    <col min="12" max="12" width="4.5546875" style="6" bestFit="1" customWidth="1"/>
    <col min="13" max="13" width="3.21484375" style="6" bestFit="1" customWidth="1"/>
    <col min="14" max="15" width="2.88671875" style="6" bestFit="1" customWidth="1"/>
    <col min="16" max="16" width="5.10546875" style="6" bestFit="1" customWidth="1"/>
    <col min="17" max="17" width="4.5546875" style="6" customWidth="1"/>
    <col min="18" max="18" width="4.88671875" style="6" customWidth="1"/>
    <col min="19" max="19" width="4.10546875" style="6" customWidth="1"/>
    <col min="20" max="20" width="3.88671875" style="6" customWidth="1"/>
    <col min="21" max="21" width="3.99609375" style="6" customWidth="1"/>
    <col min="22" max="22" width="3.21484375" style="6" customWidth="1"/>
    <col min="23" max="23" width="3.99609375" style="6" customWidth="1"/>
    <col min="24" max="24" width="4.77734375" style="6" customWidth="1"/>
    <col min="25" max="26" width="3.6640625" style="6" customWidth="1"/>
    <col min="27" max="27" width="2.99609375" style="6" customWidth="1"/>
    <col min="28" max="28" width="5.3359375" style="6" customWidth="1"/>
    <col min="29" max="30" width="2.88671875" style="6" customWidth="1"/>
    <col min="31" max="31" width="3.4453125" style="6" customWidth="1"/>
    <col min="32" max="32" width="4.77734375" style="6" customWidth="1"/>
    <col min="33" max="33" width="3.99609375" style="6" hidden="1" customWidth="1"/>
    <col min="34" max="34" width="3.5546875" style="6" hidden="1" customWidth="1"/>
    <col min="35" max="35" width="3.88671875" style="6" hidden="1" customWidth="1"/>
    <col min="36" max="16384" width="8.88671875" style="6" customWidth="1"/>
  </cols>
  <sheetData>
    <row r="1" spans="1:30" ht="18.75">
      <c r="A1" s="522" t="s">
        <v>23</v>
      </c>
      <c r="B1" s="522"/>
      <c r="C1" s="522"/>
      <c r="D1" s="522"/>
      <c r="J1" s="4"/>
      <c r="K1" s="4"/>
      <c r="L1" s="4"/>
      <c r="P1" s="4"/>
      <c r="Q1" s="4" t="s">
        <v>50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.75">
      <c r="A2" s="523" t="s">
        <v>24</v>
      </c>
      <c r="B2" s="523"/>
      <c r="C2" s="523"/>
      <c r="D2" s="523"/>
      <c r="J2" s="13"/>
      <c r="K2" s="13"/>
      <c r="L2" s="13"/>
      <c r="P2" s="13"/>
      <c r="Q2" s="13" t="s">
        <v>329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ht="15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P3" s="55"/>
      <c r="Q3" s="55" t="s">
        <v>347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35" ht="18.75" customHeight="1">
      <c r="A4" s="477" t="s">
        <v>0</v>
      </c>
      <c r="B4" s="525" t="s">
        <v>94</v>
      </c>
      <c r="C4" s="543" t="s">
        <v>108</v>
      </c>
      <c r="D4" s="477" t="s">
        <v>11</v>
      </c>
      <c r="E4" s="477"/>
      <c r="F4" s="525" t="s">
        <v>140</v>
      </c>
      <c r="G4" s="477"/>
      <c r="H4" s="544" t="s">
        <v>25</v>
      </c>
      <c r="I4" s="544"/>
      <c r="J4" s="544"/>
      <c r="K4" s="544"/>
      <c r="L4" s="544"/>
      <c r="M4" s="544"/>
      <c r="N4" s="544"/>
      <c r="O4" s="544"/>
      <c r="P4" s="544"/>
      <c r="Q4" s="525" t="s">
        <v>115</v>
      </c>
      <c r="R4" s="525"/>
      <c r="S4" s="525" t="s">
        <v>187</v>
      </c>
      <c r="T4" s="477" t="s">
        <v>117</v>
      </c>
      <c r="U4" s="477"/>
      <c r="V4" s="477"/>
      <c r="W4" s="477"/>
      <c r="X4" s="477" t="s">
        <v>26</v>
      </c>
      <c r="Y4" s="477"/>
      <c r="Z4" s="477" t="s">
        <v>116</v>
      </c>
      <c r="AA4" s="477"/>
      <c r="AB4" s="543" t="s">
        <v>326</v>
      </c>
      <c r="AC4" s="506" t="s">
        <v>322</v>
      </c>
      <c r="AD4" s="506" t="s">
        <v>325</v>
      </c>
      <c r="AE4" s="525" t="s">
        <v>139</v>
      </c>
      <c r="AF4" s="477"/>
      <c r="AG4" s="477" t="s">
        <v>163</v>
      </c>
      <c r="AH4" s="477"/>
      <c r="AI4" s="477"/>
    </row>
    <row r="5" spans="1:35" ht="12.75">
      <c r="A5" s="477"/>
      <c r="B5" s="525"/>
      <c r="C5" s="543"/>
      <c r="D5" s="477"/>
      <c r="E5" s="477"/>
      <c r="F5" s="477"/>
      <c r="G5" s="477"/>
      <c r="H5" s="544" t="s">
        <v>29</v>
      </c>
      <c r="I5" s="544"/>
      <c r="J5" s="544" t="s">
        <v>30</v>
      </c>
      <c r="K5" s="544"/>
      <c r="L5" s="544" t="s">
        <v>31</v>
      </c>
      <c r="M5" s="544"/>
      <c r="N5" s="509" t="s">
        <v>320</v>
      </c>
      <c r="O5" s="509" t="s">
        <v>321</v>
      </c>
      <c r="P5" s="477" t="s">
        <v>113</v>
      </c>
      <c r="Q5" s="525"/>
      <c r="R5" s="525"/>
      <c r="S5" s="525"/>
      <c r="T5" s="477"/>
      <c r="U5" s="477"/>
      <c r="V5" s="477"/>
      <c r="W5" s="477"/>
      <c r="X5" s="477"/>
      <c r="Y5" s="477"/>
      <c r="Z5" s="477"/>
      <c r="AA5" s="477"/>
      <c r="AB5" s="543"/>
      <c r="AC5" s="507"/>
      <c r="AD5" s="507"/>
      <c r="AE5" s="477"/>
      <c r="AF5" s="477"/>
      <c r="AG5" s="477"/>
      <c r="AH5" s="477"/>
      <c r="AI5" s="477"/>
    </row>
    <row r="6" spans="1:35" ht="38.25">
      <c r="A6" s="477"/>
      <c r="B6" s="525"/>
      <c r="C6" s="543"/>
      <c r="D6" s="8" t="s">
        <v>35</v>
      </c>
      <c r="E6" s="9" t="s">
        <v>36</v>
      </c>
      <c r="F6" s="8" t="s">
        <v>35</v>
      </c>
      <c r="G6" s="9" t="s">
        <v>36</v>
      </c>
      <c r="H6" s="8" t="s">
        <v>35</v>
      </c>
      <c r="I6" s="9" t="s">
        <v>36</v>
      </c>
      <c r="J6" s="8" t="s">
        <v>35</v>
      </c>
      <c r="K6" s="9" t="s">
        <v>36</v>
      </c>
      <c r="L6" s="8" t="s">
        <v>35</v>
      </c>
      <c r="M6" s="9" t="s">
        <v>36</v>
      </c>
      <c r="N6" s="511"/>
      <c r="O6" s="511"/>
      <c r="P6" s="477"/>
      <c r="Q6" s="9" t="s">
        <v>114</v>
      </c>
      <c r="R6" s="9" t="s">
        <v>113</v>
      </c>
      <c r="S6" s="525"/>
      <c r="T6" s="8" t="s">
        <v>120</v>
      </c>
      <c r="U6" s="8" t="s">
        <v>119</v>
      </c>
      <c r="V6" s="8" t="s">
        <v>121</v>
      </c>
      <c r="W6" s="8" t="s">
        <v>118</v>
      </c>
      <c r="X6" s="9" t="s">
        <v>34</v>
      </c>
      <c r="Y6" s="9" t="s">
        <v>33</v>
      </c>
      <c r="Z6" s="9" t="s">
        <v>34</v>
      </c>
      <c r="AA6" s="9" t="s">
        <v>33</v>
      </c>
      <c r="AB6" s="543"/>
      <c r="AC6" s="508"/>
      <c r="AD6" s="508"/>
      <c r="AE6" s="9" t="s">
        <v>135</v>
      </c>
      <c r="AF6" s="9" t="s">
        <v>136</v>
      </c>
      <c r="AG6" s="85" t="s">
        <v>160</v>
      </c>
      <c r="AH6" s="85" t="s">
        <v>161</v>
      </c>
      <c r="AI6" s="8" t="s">
        <v>164</v>
      </c>
    </row>
    <row r="7" spans="1:35" s="35" customFormat="1" ht="16.5" customHeight="1">
      <c r="A7" s="542" t="s">
        <v>122</v>
      </c>
      <c r="B7" s="542"/>
      <c r="C7" s="187">
        <f>C8+C30</f>
        <v>8</v>
      </c>
      <c r="D7" s="334">
        <f>D8+D29</f>
        <v>17645</v>
      </c>
      <c r="E7" s="334">
        <f aca="true" t="shared" si="0" ref="E7:X7">E8+E29</f>
        <v>459</v>
      </c>
      <c r="F7" s="334">
        <f t="shared" si="0"/>
        <v>2203</v>
      </c>
      <c r="G7" s="334">
        <f t="shared" si="0"/>
        <v>61</v>
      </c>
      <c r="H7" s="334">
        <f t="shared" si="0"/>
        <v>6380</v>
      </c>
      <c r="I7" s="334">
        <f t="shared" si="0"/>
        <v>163</v>
      </c>
      <c r="J7" s="334">
        <f t="shared" si="0"/>
        <v>5760</v>
      </c>
      <c r="K7" s="334">
        <f t="shared" si="0"/>
        <v>151</v>
      </c>
      <c r="L7" s="334">
        <f t="shared" si="0"/>
        <v>5505</v>
      </c>
      <c r="M7" s="332">
        <f t="shared" si="0"/>
        <v>145</v>
      </c>
      <c r="N7" s="332">
        <f t="shared" si="0"/>
        <v>261</v>
      </c>
      <c r="O7" s="332">
        <f t="shared" si="0"/>
        <v>521</v>
      </c>
      <c r="P7" s="334">
        <f t="shared" si="0"/>
        <v>10158</v>
      </c>
      <c r="Q7" s="334">
        <f t="shared" si="0"/>
        <v>3813</v>
      </c>
      <c r="R7" s="334">
        <f t="shared" si="0"/>
        <v>2321</v>
      </c>
      <c r="S7" s="334">
        <f t="shared" si="0"/>
        <v>11</v>
      </c>
      <c r="T7" s="334">
        <f t="shared" si="0"/>
        <v>350</v>
      </c>
      <c r="U7" s="334">
        <f t="shared" si="0"/>
        <v>124</v>
      </c>
      <c r="V7" s="334">
        <f t="shared" si="0"/>
        <v>29</v>
      </c>
      <c r="W7" s="334">
        <f t="shared" si="0"/>
        <v>11</v>
      </c>
      <c r="X7" s="334">
        <f t="shared" si="0"/>
        <v>994</v>
      </c>
      <c r="Y7" s="334">
        <f aca="true" t="shared" si="1" ref="Y7:AE7">Y8+Y29</f>
        <v>571</v>
      </c>
      <c r="Z7" s="334">
        <f t="shared" si="1"/>
        <v>56</v>
      </c>
      <c r="AA7" s="334">
        <f t="shared" si="1"/>
        <v>7</v>
      </c>
      <c r="AB7" s="334">
        <f t="shared" si="1"/>
        <v>1208</v>
      </c>
      <c r="AC7" s="334">
        <f t="shared" si="1"/>
        <v>3</v>
      </c>
      <c r="AD7" s="334">
        <f t="shared" si="1"/>
        <v>15</v>
      </c>
      <c r="AE7" s="334">
        <f t="shared" si="1"/>
        <v>129</v>
      </c>
      <c r="AF7" s="188">
        <f>AE7/X7</f>
        <v>0.12977867203219315</v>
      </c>
      <c r="AG7" s="189">
        <f>AG8+AG30</f>
        <v>1000</v>
      </c>
      <c r="AH7" s="189">
        <f>AH8+AH30</f>
        <v>837</v>
      </c>
      <c r="AI7" s="189">
        <f>AI8+AI30</f>
        <v>716</v>
      </c>
    </row>
    <row r="8" spans="1:35" ht="15.75" customHeight="1">
      <c r="A8" s="51" t="s">
        <v>111</v>
      </c>
      <c r="B8" s="8"/>
      <c r="C8" s="331">
        <f>COUNTIF(C9:C26,"X")</f>
        <v>8</v>
      </c>
      <c r="D8" s="334">
        <f>SUM(D9:D28)</f>
        <v>17406</v>
      </c>
      <c r="E8" s="332">
        <f>SUM(E9:E28)</f>
        <v>448</v>
      </c>
      <c r="F8" s="332">
        <f aca="true" t="shared" si="2" ref="F8:AE8">SUM(F9:F28)</f>
        <v>1732</v>
      </c>
      <c r="G8" s="332">
        <f t="shared" si="2"/>
        <v>49</v>
      </c>
      <c r="H8" s="332">
        <f t="shared" si="2"/>
        <v>6287</v>
      </c>
      <c r="I8" s="332">
        <f t="shared" si="2"/>
        <v>159</v>
      </c>
      <c r="J8" s="332">
        <f t="shared" si="2"/>
        <v>5681</v>
      </c>
      <c r="K8" s="332">
        <f t="shared" si="2"/>
        <v>148</v>
      </c>
      <c r="L8" s="332">
        <f t="shared" si="2"/>
        <v>5438</v>
      </c>
      <c r="M8" s="332">
        <f t="shared" si="2"/>
        <v>141</v>
      </c>
      <c r="N8" s="332">
        <f t="shared" si="2"/>
        <v>261</v>
      </c>
      <c r="O8" s="332">
        <f t="shared" si="2"/>
        <v>521</v>
      </c>
      <c r="P8" s="332">
        <f t="shared" si="2"/>
        <v>10052</v>
      </c>
      <c r="Q8" s="332">
        <f t="shared" si="2"/>
        <v>3810</v>
      </c>
      <c r="R8" s="332">
        <f t="shared" si="2"/>
        <v>2319</v>
      </c>
      <c r="S8" s="332">
        <f t="shared" si="2"/>
        <v>11</v>
      </c>
      <c r="T8" s="332">
        <f t="shared" si="2"/>
        <v>339</v>
      </c>
      <c r="U8" s="332">
        <f t="shared" si="2"/>
        <v>118</v>
      </c>
      <c r="V8" s="332">
        <f t="shared" si="2"/>
        <v>27</v>
      </c>
      <c r="W8" s="332">
        <f t="shared" si="2"/>
        <v>9</v>
      </c>
      <c r="X8" s="332">
        <f t="shared" si="2"/>
        <v>978</v>
      </c>
      <c r="Y8" s="332">
        <f t="shared" si="2"/>
        <v>557</v>
      </c>
      <c r="Z8" s="332">
        <f t="shared" si="2"/>
        <v>52</v>
      </c>
      <c r="AA8" s="332">
        <f t="shared" si="2"/>
        <v>6</v>
      </c>
      <c r="AB8" s="332">
        <f t="shared" si="2"/>
        <v>1168</v>
      </c>
      <c r="AC8" s="332">
        <f t="shared" si="2"/>
        <v>3</v>
      </c>
      <c r="AD8" s="332">
        <f t="shared" si="2"/>
        <v>15</v>
      </c>
      <c r="AE8" s="332">
        <f t="shared" si="2"/>
        <v>127</v>
      </c>
      <c r="AF8" s="333">
        <f>AE8/X8</f>
        <v>0.12985685071574643</v>
      </c>
      <c r="AG8" s="89">
        <f>SUM(AG9:AG26)</f>
        <v>1000</v>
      </c>
      <c r="AH8" s="89">
        <f>SUM(AH9:AH26)</f>
        <v>837</v>
      </c>
      <c r="AI8" s="89">
        <f>SUM(AI9:AI26)</f>
        <v>716</v>
      </c>
    </row>
    <row r="9" spans="1:35" s="320" customFormat="1" ht="12.75">
      <c r="A9" s="7">
        <v>1</v>
      </c>
      <c r="B9" s="240" t="s">
        <v>213</v>
      </c>
      <c r="C9" s="241" t="s">
        <v>105</v>
      </c>
      <c r="D9" s="240">
        <f aca="true" t="shared" si="3" ref="D9:E26">H9+J9+L9</f>
        <v>1329</v>
      </c>
      <c r="E9" s="240">
        <f t="shared" si="3"/>
        <v>33</v>
      </c>
      <c r="F9" s="12"/>
      <c r="G9" s="12"/>
      <c r="H9" s="240">
        <v>451</v>
      </c>
      <c r="I9" s="240">
        <v>11</v>
      </c>
      <c r="J9" s="240">
        <v>422</v>
      </c>
      <c r="K9" s="240">
        <v>11</v>
      </c>
      <c r="L9" s="240">
        <v>456</v>
      </c>
      <c r="M9" s="240">
        <v>11</v>
      </c>
      <c r="N9" s="240">
        <v>3</v>
      </c>
      <c r="O9" s="240">
        <v>34</v>
      </c>
      <c r="P9" s="240">
        <v>857</v>
      </c>
      <c r="Q9" s="240">
        <v>712</v>
      </c>
      <c r="R9" s="240">
        <v>487</v>
      </c>
      <c r="S9" s="240"/>
      <c r="T9" s="240">
        <v>19</v>
      </c>
      <c r="U9" s="240">
        <v>7</v>
      </c>
      <c r="V9" s="240">
        <v>1</v>
      </c>
      <c r="W9" s="240">
        <v>1</v>
      </c>
      <c r="X9" s="240">
        <v>72</v>
      </c>
      <c r="Y9" s="240">
        <v>26</v>
      </c>
      <c r="Z9" s="240">
        <v>3</v>
      </c>
      <c r="AA9" s="240">
        <v>0</v>
      </c>
      <c r="AB9" s="240">
        <v>84</v>
      </c>
      <c r="AC9" s="240"/>
      <c r="AD9" s="240">
        <v>1</v>
      </c>
      <c r="AE9" s="240">
        <v>10</v>
      </c>
      <c r="AF9" s="165">
        <f aca="true" t="shared" si="4" ref="AF9:AF28">AE9/X9</f>
        <v>0.1388888888888889</v>
      </c>
      <c r="AG9" s="319">
        <v>349</v>
      </c>
      <c r="AH9" s="319">
        <v>86</v>
      </c>
      <c r="AI9" s="319">
        <v>256</v>
      </c>
    </row>
    <row r="10" spans="1:35" s="320" customFormat="1" ht="16.5" customHeight="1">
      <c r="A10" s="7">
        <v>2</v>
      </c>
      <c r="B10" s="240" t="s">
        <v>260</v>
      </c>
      <c r="C10" s="241"/>
      <c r="D10" s="240">
        <f t="shared" si="3"/>
        <v>288</v>
      </c>
      <c r="E10" s="240">
        <f t="shared" si="3"/>
        <v>10</v>
      </c>
      <c r="F10" s="12"/>
      <c r="G10" s="12"/>
      <c r="H10" s="240">
        <v>131</v>
      </c>
      <c r="I10" s="240">
        <v>4</v>
      </c>
      <c r="J10" s="240">
        <v>88</v>
      </c>
      <c r="K10" s="240">
        <v>3</v>
      </c>
      <c r="L10" s="240">
        <v>69</v>
      </c>
      <c r="M10" s="240">
        <v>3</v>
      </c>
      <c r="N10" s="240">
        <v>30</v>
      </c>
      <c r="O10" s="240">
        <v>16</v>
      </c>
      <c r="P10" s="240">
        <v>169</v>
      </c>
      <c r="Q10" s="240">
        <v>228</v>
      </c>
      <c r="R10" s="240">
        <v>144</v>
      </c>
      <c r="S10" s="240"/>
      <c r="T10" s="240">
        <v>10</v>
      </c>
      <c r="U10" s="240">
        <v>7</v>
      </c>
      <c r="V10" s="240">
        <v>1</v>
      </c>
      <c r="W10" s="240">
        <v>0</v>
      </c>
      <c r="X10" s="240">
        <v>20</v>
      </c>
      <c r="Y10" s="240">
        <v>8</v>
      </c>
      <c r="Z10" s="240">
        <v>3</v>
      </c>
      <c r="AA10" s="240">
        <v>0</v>
      </c>
      <c r="AB10" s="240">
        <v>27</v>
      </c>
      <c r="AC10" s="240"/>
      <c r="AD10" s="240">
        <v>3</v>
      </c>
      <c r="AE10" s="240">
        <v>4</v>
      </c>
      <c r="AF10" s="165">
        <f t="shared" si="4"/>
        <v>0.2</v>
      </c>
      <c r="AG10" s="319">
        <v>110</v>
      </c>
      <c r="AH10" s="319">
        <v>92</v>
      </c>
      <c r="AI10" s="319">
        <v>150</v>
      </c>
    </row>
    <row r="11" spans="1:35" s="320" customFormat="1" ht="16.5" customHeight="1">
      <c r="A11" s="7">
        <v>3</v>
      </c>
      <c r="B11" s="240" t="s">
        <v>95</v>
      </c>
      <c r="C11" s="241"/>
      <c r="D11" s="240">
        <f t="shared" si="3"/>
        <v>1998</v>
      </c>
      <c r="E11" s="240">
        <f>I11+K11+M11</f>
        <v>49</v>
      </c>
      <c r="F11" s="12"/>
      <c r="G11" s="12"/>
      <c r="H11" s="240">
        <v>603</v>
      </c>
      <c r="I11" s="240">
        <v>15</v>
      </c>
      <c r="J11" s="240">
        <v>738</v>
      </c>
      <c r="K11" s="240">
        <v>18</v>
      </c>
      <c r="L11" s="240">
        <v>657</v>
      </c>
      <c r="M11" s="240">
        <v>16</v>
      </c>
      <c r="N11" s="240">
        <v>11</v>
      </c>
      <c r="O11" s="240">
        <v>1</v>
      </c>
      <c r="P11" s="240">
        <v>1183</v>
      </c>
      <c r="Q11" s="240">
        <v>84</v>
      </c>
      <c r="R11" s="240">
        <v>54</v>
      </c>
      <c r="S11" s="240">
        <v>1</v>
      </c>
      <c r="T11" s="240">
        <v>25</v>
      </c>
      <c r="U11" s="240">
        <v>11</v>
      </c>
      <c r="V11" s="240">
        <v>2</v>
      </c>
      <c r="W11" s="240">
        <v>1</v>
      </c>
      <c r="X11" s="240">
        <v>104</v>
      </c>
      <c r="Y11" s="240">
        <v>72</v>
      </c>
      <c r="Z11" s="240">
        <v>4</v>
      </c>
      <c r="AA11" s="240">
        <v>1</v>
      </c>
      <c r="AB11" s="240">
        <f>103+4+9</f>
        <v>116</v>
      </c>
      <c r="AC11" s="240"/>
      <c r="AD11" s="240">
        <v>2</v>
      </c>
      <c r="AE11" s="240">
        <v>8</v>
      </c>
      <c r="AF11" s="165">
        <f t="shared" si="4"/>
        <v>0.07692307692307693</v>
      </c>
      <c r="AG11" s="319"/>
      <c r="AH11" s="319"/>
      <c r="AI11" s="319"/>
    </row>
    <row r="12" spans="1:35" s="320" customFormat="1" ht="16.5" customHeight="1">
      <c r="A12" s="7">
        <v>4</v>
      </c>
      <c r="B12" s="240" t="s">
        <v>226</v>
      </c>
      <c r="C12" s="241" t="s">
        <v>105</v>
      </c>
      <c r="D12" s="240">
        <f t="shared" si="3"/>
        <v>294</v>
      </c>
      <c r="E12" s="240">
        <f t="shared" si="3"/>
        <v>9</v>
      </c>
      <c r="F12" s="12">
        <v>742</v>
      </c>
      <c r="G12" s="12">
        <v>22</v>
      </c>
      <c r="H12" s="240">
        <v>109</v>
      </c>
      <c r="I12" s="240">
        <v>3</v>
      </c>
      <c r="J12" s="240">
        <v>95</v>
      </c>
      <c r="K12" s="240">
        <v>3</v>
      </c>
      <c r="L12" s="240">
        <v>90</v>
      </c>
      <c r="M12" s="240">
        <v>3</v>
      </c>
      <c r="N12" s="240">
        <v>4</v>
      </c>
      <c r="O12" s="240">
        <v>15</v>
      </c>
      <c r="P12" s="240">
        <v>211</v>
      </c>
      <c r="Q12" s="240">
        <v>287</v>
      </c>
      <c r="R12" s="240">
        <v>206</v>
      </c>
      <c r="S12" s="240"/>
      <c r="T12" s="240">
        <v>9</v>
      </c>
      <c r="U12" s="240">
        <v>8</v>
      </c>
      <c r="V12" s="240">
        <v>1</v>
      </c>
      <c r="W12" s="240">
        <v>1</v>
      </c>
      <c r="X12" s="240">
        <v>20</v>
      </c>
      <c r="Y12" s="240">
        <v>13</v>
      </c>
      <c r="Z12" s="240">
        <v>3</v>
      </c>
      <c r="AA12" s="240">
        <v>1</v>
      </c>
      <c r="AB12" s="240">
        <v>38</v>
      </c>
      <c r="AC12" s="240"/>
      <c r="AD12" s="240"/>
      <c r="AE12" s="240">
        <v>2</v>
      </c>
      <c r="AF12" s="165">
        <f>AE12/X12</f>
        <v>0.1</v>
      </c>
      <c r="AG12" s="319">
        <v>99</v>
      </c>
      <c r="AH12" s="319"/>
      <c r="AI12" s="319">
        <v>99</v>
      </c>
    </row>
    <row r="13" spans="1:35" s="320" customFormat="1" ht="16.5" customHeight="1">
      <c r="A13" s="7">
        <v>5</v>
      </c>
      <c r="B13" s="240" t="s">
        <v>214</v>
      </c>
      <c r="C13" s="241"/>
      <c r="D13" s="240">
        <f t="shared" si="3"/>
        <v>558</v>
      </c>
      <c r="E13" s="240">
        <f t="shared" si="3"/>
        <v>14</v>
      </c>
      <c r="F13" s="12">
        <f>D13</f>
        <v>558</v>
      </c>
      <c r="G13" s="12">
        <f>E13</f>
        <v>14</v>
      </c>
      <c r="H13" s="240">
        <v>209</v>
      </c>
      <c r="I13" s="240">
        <v>5</v>
      </c>
      <c r="J13" s="240">
        <v>175</v>
      </c>
      <c r="K13" s="240">
        <v>5</v>
      </c>
      <c r="L13" s="240">
        <v>174</v>
      </c>
      <c r="M13" s="240">
        <v>4</v>
      </c>
      <c r="N13" s="240"/>
      <c r="O13" s="240">
        <v>17</v>
      </c>
      <c r="P13" s="240">
        <f>106+101+97</f>
        <v>304</v>
      </c>
      <c r="Q13" s="240">
        <f>68+66+44</f>
        <v>178</v>
      </c>
      <c r="R13" s="240">
        <v>94</v>
      </c>
      <c r="S13" s="240"/>
      <c r="T13" s="240">
        <v>14</v>
      </c>
      <c r="U13" s="240">
        <v>2</v>
      </c>
      <c r="V13" s="240">
        <v>1</v>
      </c>
      <c r="W13" s="240">
        <v>0</v>
      </c>
      <c r="X13" s="240">
        <v>29</v>
      </c>
      <c r="Y13" s="240">
        <v>13</v>
      </c>
      <c r="Z13" s="240">
        <v>2</v>
      </c>
      <c r="AA13" s="240">
        <v>0</v>
      </c>
      <c r="AB13" s="240">
        <f>29+6</f>
        <v>35</v>
      </c>
      <c r="AC13" s="240"/>
      <c r="AD13" s="240">
        <v>2</v>
      </c>
      <c r="AE13" s="240"/>
      <c r="AF13" s="165">
        <f t="shared" si="4"/>
        <v>0</v>
      </c>
      <c r="AG13" s="319">
        <v>90</v>
      </c>
      <c r="AH13" s="319"/>
      <c r="AI13" s="319">
        <v>25</v>
      </c>
    </row>
    <row r="14" spans="1:35" ht="16.5" customHeight="1">
      <c r="A14" s="7">
        <v>6</v>
      </c>
      <c r="B14" s="240" t="s">
        <v>215</v>
      </c>
      <c r="C14" s="241"/>
      <c r="D14" s="240">
        <f t="shared" si="3"/>
        <v>784</v>
      </c>
      <c r="E14" s="240">
        <f t="shared" si="3"/>
        <v>21</v>
      </c>
      <c r="F14" s="12">
        <v>172</v>
      </c>
      <c r="G14" s="12">
        <v>6</v>
      </c>
      <c r="H14" s="240">
        <v>272</v>
      </c>
      <c r="I14" s="240">
        <v>7</v>
      </c>
      <c r="J14" s="240">
        <v>246</v>
      </c>
      <c r="K14" s="240">
        <v>7</v>
      </c>
      <c r="L14" s="240">
        <v>266</v>
      </c>
      <c r="M14" s="240">
        <v>7</v>
      </c>
      <c r="N14" s="240">
        <v>10</v>
      </c>
      <c r="O14" s="240">
        <v>73</v>
      </c>
      <c r="P14" s="240">
        <f>196+143+136</f>
        <v>475</v>
      </c>
      <c r="Q14" s="240">
        <f>75+29+22</f>
        <v>126</v>
      </c>
      <c r="R14" s="240">
        <v>49</v>
      </c>
      <c r="S14" s="240"/>
      <c r="T14" s="240">
        <v>21</v>
      </c>
      <c r="U14" s="240">
        <v>6</v>
      </c>
      <c r="V14" s="240">
        <v>1</v>
      </c>
      <c r="W14" s="240">
        <v>0</v>
      </c>
      <c r="X14" s="240">
        <v>47</v>
      </c>
      <c r="Y14" s="240">
        <v>28</v>
      </c>
      <c r="Z14" s="240">
        <v>3</v>
      </c>
      <c r="AA14" s="240"/>
      <c r="AB14" s="240">
        <v>58</v>
      </c>
      <c r="AC14" s="240"/>
      <c r="AD14" s="240">
        <v>1</v>
      </c>
      <c r="AE14" s="240">
        <v>11</v>
      </c>
      <c r="AF14" s="165">
        <f t="shared" si="4"/>
        <v>0.23404255319148937</v>
      </c>
      <c r="AG14" s="12">
        <v>68</v>
      </c>
      <c r="AH14" s="12">
        <v>199</v>
      </c>
      <c r="AI14" s="12"/>
    </row>
    <row r="15" spans="1:35" ht="16.5" customHeight="1">
      <c r="A15" s="7">
        <v>7</v>
      </c>
      <c r="B15" s="240" t="s">
        <v>216</v>
      </c>
      <c r="C15" s="241"/>
      <c r="D15" s="240">
        <f t="shared" si="3"/>
        <v>987</v>
      </c>
      <c r="E15" s="240">
        <f t="shared" si="3"/>
        <v>23</v>
      </c>
      <c r="F15" s="12"/>
      <c r="G15" s="12"/>
      <c r="H15" s="240">
        <v>385</v>
      </c>
      <c r="I15" s="240">
        <v>9</v>
      </c>
      <c r="J15" s="240">
        <v>333</v>
      </c>
      <c r="K15" s="240">
        <v>8</v>
      </c>
      <c r="L15" s="240">
        <v>269</v>
      </c>
      <c r="M15" s="240">
        <v>6</v>
      </c>
      <c r="N15" s="240">
        <v>30</v>
      </c>
      <c r="O15" s="240">
        <v>103</v>
      </c>
      <c r="P15" s="240">
        <v>495</v>
      </c>
      <c r="Q15" s="240">
        <v>551</v>
      </c>
      <c r="R15" s="240">
        <v>306</v>
      </c>
      <c r="S15" s="240"/>
      <c r="T15" s="240">
        <v>22</v>
      </c>
      <c r="U15" s="240">
        <v>3</v>
      </c>
      <c r="V15" s="240">
        <v>1</v>
      </c>
      <c r="W15" s="240">
        <v>0</v>
      </c>
      <c r="X15" s="240">
        <v>50</v>
      </c>
      <c r="Y15" s="240">
        <v>18</v>
      </c>
      <c r="Z15" s="240">
        <v>2</v>
      </c>
      <c r="AA15" s="240">
        <v>0</v>
      </c>
      <c r="AB15" s="240">
        <v>58</v>
      </c>
      <c r="AC15" s="240"/>
      <c r="AD15" s="240"/>
      <c r="AE15" s="240">
        <v>2</v>
      </c>
      <c r="AF15" s="165">
        <f t="shared" si="4"/>
        <v>0.04</v>
      </c>
      <c r="AG15" s="12">
        <v>56</v>
      </c>
      <c r="AH15" s="12">
        <v>145</v>
      </c>
      <c r="AI15" s="12">
        <v>0</v>
      </c>
    </row>
    <row r="16" spans="1:35" s="320" customFormat="1" ht="16.5" customHeight="1">
      <c r="A16" s="7">
        <v>8</v>
      </c>
      <c r="B16" s="240" t="s">
        <v>217</v>
      </c>
      <c r="C16" s="241"/>
      <c r="D16" s="240">
        <f t="shared" si="3"/>
        <v>1856</v>
      </c>
      <c r="E16" s="240">
        <f t="shared" si="3"/>
        <v>46</v>
      </c>
      <c r="F16" s="12"/>
      <c r="G16" s="12"/>
      <c r="H16" s="240">
        <v>595</v>
      </c>
      <c r="I16" s="240">
        <v>15</v>
      </c>
      <c r="J16" s="240">
        <v>591</v>
      </c>
      <c r="K16" s="240">
        <v>14</v>
      </c>
      <c r="L16" s="240">
        <v>670</v>
      </c>
      <c r="M16" s="240">
        <v>17</v>
      </c>
      <c r="N16" s="240">
        <v>5</v>
      </c>
      <c r="O16" s="240"/>
      <c r="P16" s="240">
        <v>1151</v>
      </c>
      <c r="Q16" s="240">
        <f>23+21+17</f>
        <v>61</v>
      </c>
      <c r="R16" s="240">
        <v>42</v>
      </c>
      <c r="S16" s="240">
        <v>3</v>
      </c>
      <c r="T16" s="240">
        <v>29</v>
      </c>
      <c r="U16" s="240">
        <v>9</v>
      </c>
      <c r="V16" s="240">
        <v>1</v>
      </c>
      <c r="W16" s="240">
        <v>0</v>
      </c>
      <c r="X16" s="240">
        <v>104</v>
      </c>
      <c r="Y16" s="240">
        <v>76</v>
      </c>
      <c r="Z16" s="240">
        <v>3</v>
      </c>
      <c r="AA16" s="240">
        <v>1</v>
      </c>
      <c r="AB16" s="240">
        <v>112</v>
      </c>
      <c r="AC16" s="240">
        <v>1</v>
      </c>
      <c r="AD16" s="240"/>
      <c r="AE16" s="240">
        <v>12</v>
      </c>
      <c r="AF16" s="165">
        <f t="shared" si="4"/>
        <v>0.11538461538461539</v>
      </c>
      <c r="AG16" s="319"/>
      <c r="AH16" s="319"/>
      <c r="AI16" s="319"/>
    </row>
    <row r="17" spans="1:35" s="320" customFormat="1" ht="16.5" customHeight="1">
      <c r="A17" s="7">
        <v>9</v>
      </c>
      <c r="B17" s="240" t="s">
        <v>264</v>
      </c>
      <c r="C17" s="241"/>
      <c r="D17" s="240">
        <f t="shared" si="3"/>
        <v>294</v>
      </c>
      <c r="E17" s="240">
        <f t="shared" si="3"/>
        <v>8</v>
      </c>
      <c r="F17" s="12"/>
      <c r="G17" s="12"/>
      <c r="H17" s="240">
        <v>128</v>
      </c>
      <c r="I17" s="240">
        <v>3</v>
      </c>
      <c r="J17" s="240">
        <v>99</v>
      </c>
      <c r="K17" s="240">
        <v>3</v>
      </c>
      <c r="L17" s="240">
        <v>67</v>
      </c>
      <c r="M17" s="240">
        <v>2</v>
      </c>
      <c r="N17" s="240">
        <v>6</v>
      </c>
      <c r="O17" s="240">
        <v>7</v>
      </c>
      <c r="P17" s="240">
        <v>140</v>
      </c>
      <c r="Q17" s="240">
        <v>141</v>
      </c>
      <c r="R17" s="240">
        <v>65</v>
      </c>
      <c r="S17" s="240"/>
      <c r="T17" s="240">
        <v>7</v>
      </c>
      <c r="U17" s="240">
        <v>4</v>
      </c>
      <c r="V17" s="240">
        <v>1</v>
      </c>
      <c r="W17" s="240">
        <v>0</v>
      </c>
      <c r="X17" s="240">
        <v>19</v>
      </c>
      <c r="Y17" s="240">
        <v>13</v>
      </c>
      <c r="Z17" s="240">
        <v>1</v>
      </c>
      <c r="AA17" s="240"/>
      <c r="AB17" s="240">
        <f>8+1+19</f>
        <v>28</v>
      </c>
      <c r="AC17" s="240"/>
      <c r="AD17" s="240"/>
      <c r="AE17" s="240">
        <v>3</v>
      </c>
      <c r="AF17" s="165">
        <f t="shared" si="4"/>
        <v>0.15789473684210525</v>
      </c>
      <c r="AG17" s="319"/>
      <c r="AH17" s="319"/>
      <c r="AI17" s="319"/>
    </row>
    <row r="18" spans="1:35" s="320" customFormat="1" ht="16.5" customHeight="1">
      <c r="A18" s="7">
        <v>10</v>
      </c>
      <c r="B18" s="240" t="s">
        <v>218</v>
      </c>
      <c r="C18" s="241" t="s">
        <v>105</v>
      </c>
      <c r="D18" s="240">
        <f t="shared" si="3"/>
        <v>1290</v>
      </c>
      <c r="E18" s="240">
        <f t="shared" si="3"/>
        <v>29</v>
      </c>
      <c r="F18" s="12"/>
      <c r="G18" s="12"/>
      <c r="H18" s="240">
        <v>451</v>
      </c>
      <c r="I18" s="240">
        <v>11</v>
      </c>
      <c r="J18" s="240">
        <v>429</v>
      </c>
      <c r="K18" s="240">
        <v>9</v>
      </c>
      <c r="L18" s="240">
        <v>410</v>
      </c>
      <c r="M18" s="240">
        <v>9</v>
      </c>
      <c r="N18" s="240"/>
      <c r="O18" s="240"/>
      <c r="P18" s="240">
        <v>766</v>
      </c>
      <c r="Q18" s="240">
        <v>5</v>
      </c>
      <c r="R18" s="240">
        <v>3</v>
      </c>
      <c r="S18" s="240">
        <v>2</v>
      </c>
      <c r="T18" s="240">
        <v>22</v>
      </c>
      <c r="U18" s="240">
        <v>5</v>
      </c>
      <c r="V18" s="240">
        <v>1</v>
      </c>
      <c r="W18" s="240">
        <v>0</v>
      </c>
      <c r="X18" s="240">
        <v>65</v>
      </c>
      <c r="Y18" s="240">
        <v>44</v>
      </c>
      <c r="Z18" s="240">
        <v>4</v>
      </c>
      <c r="AA18" s="240">
        <v>1</v>
      </c>
      <c r="AB18" s="240">
        <v>78</v>
      </c>
      <c r="AC18" s="240"/>
      <c r="AD18" s="240"/>
      <c r="AE18" s="240">
        <v>4</v>
      </c>
      <c r="AF18" s="165">
        <f t="shared" si="4"/>
        <v>0.06153846153846154</v>
      </c>
      <c r="AG18" s="319">
        <v>57</v>
      </c>
      <c r="AH18" s="319">
        <v>88</v>
      </c>
      <c r="AI18" s="319">
        <v>54</v>
      </c>
    </row>
    <row r="19" spans="1:35" s="320" customFormat="1" ht="16.5" customHeight="1">
      <c r="A19" s="7">
        <v>11</v>
      </c>
      <c r="B19" s="240" t="s">
        <v>219</v>
      </c>
      <c r="C19" s="241"/>
      <c r="D19" s="240">
        <f t="shared" si="3"/>
        <v>490</v>
      </c>
      <c r="E19" s="240">
        <f t="shared" si="3"/>
        <v>13</v>
      </c>
      <c r="F19" s="12"/>
      <c r="G19" s="12"/>
      <c r="H19" s="240">
        <v>221</v>
      </c>
      <c r="I19" s="240">
        <v>5</v>
      </c>
      <c r="J19" s="240">
        <v>146</v>
      </c>
      <c r="K19" s="240">
        <v>4</v>
      </c>
      <c r="L19" s="240">
        <v>123</v>
      </c>
      <c r="M19" s="240">
        <v>4</v>
      </c>
      <c r="N19" s="240">
        <v>17</v>
      </c>
      <c r="O19" s="240">
        <v>46</v>
      </c>
      <c r="P19" s="240">
        <v>268</v>
      </c>
      <c r="Q19" s="240">
        <v>267</v>
      </c>
      <c r="R19" s="240">
        <v>158</v>
      </c>
      <c r="S19" s="240"/>
      <c r="T19" s="240">
        <v>11</v>
      </c>
      <c r="U19" s="240">
        <v>3</v>
      </c>
      <c r="V19" s="240">
        <v>1</v>
      </c>
      <c r="W19" s="240">
        <v>0</v>
      </c>
      <c r="X19" s="240">
        <v>27</v>
      </c>
      <c r="Y19" s="240">
        <v>15</v>
      </c>
      <c r="Z19" s="240">
        <v>2</v>
      </c>
      <c r="AA19" s="240"/>
      <c r="AB19" s="240">
        <v>33</v>
      </c>
      <c r="AC19" s="240"/>
      <c r="AD19" s="240">
        <v>3</v>
      </c>
      <c r="AE19" s="240">
        <v>1</v>
      </c>
      <c r="AF19" s="165">
        <f t="shared" si="4"/>
        <v>0.037037037037037035</v>
      </c>
      <c r="AG19" s="319"/>
      <c r="AH19" s="319"/>
      <c r="AI19" s="319"/>
    </row>
    <row r="20" spans="1:35" s="320" customFormat="1" ht="16.5" customHeight="1">
      <c r="A20" s="7">
        <v>12</v>
      </c>
      <c r="B20" s="240" t="s">
        <v>97</v>
      </c>
      <c r="C20" s="241" t="s">
        <v>105</v>
      </c>
      <c r="D20" s="240">
        <f>H20+J20+L20</f>
        <v>604</v>
      </c>
      <c r="E20" s="240">
        <f>I20+K20+M20</f>
        <v>15</v>
      </c>
      <c r="F20" s="12"/>
      <c r="G20" s="12"/>
      <c r="H20" s="240">
        <v>198</v>
      </c>
      <c r="I20" s="240">
        <v>5</v>
      </c>
      <c r="J20" s="240">
        <v>211</v>
      </c>
      <c r="K20" s="240">
        <v>5</v>
      </c>
      <c r="L20" s="240">
        <v>195</v>
      </c>
      <c r="M20" s="240">
        <v>5</v>
      </c>
      <c r="N20" s="240">
        <v>4</v>
      </c>
      <c r="O20" s="240">
        <v>8</v>
      </c>
      <c r="P20" s="240">
        <v>387</v>
      </c>
      <c r="Q20" s="240">
        <v>0</v>
      </c>
      <c r="R20" s="240">
        <v>0</v>
      </c>
      <c r="S20" s="240"/>
      <c r="T20" s="240">
        <v>18</v>
      </c>
      <c r="U20" s="240">
        <v>3</v>
      </c>
      <c r="V20" s="240">
        <v>1</v>
      </c>
      <c r="W20" s="240">
        <v>1</v>
      </c>
      <c r="X20" s="240">
        <v>31</v>
      </c>
      <c r="Y20" s="240">
        <v>14</v>
      </c>
      <c r="Z20" s="240">
        <v>2</v>
      </c>
      <c r="AA20" s="240">
        <v>0</v>
      </c>
      <c r="AB20" s="240">
        <v>36</v>
      </c>
      <c r="AC20" s="240"/>
      <c r="AD20" s="240"/>
      <c r="AE20" s="240">
        <v>2</v>
      </c>
      <c r="AF20" s="165">
        <f>AE20/X20</f>
        <v>0.06451612903225806</v>
      </c>
      <c r="AG20" s="319"/>
      <c r="AH20" s="319"/>
      <c r="AI20" s="319"/>
    </row>
    <row r="21" spans="1:35" s="320" customFormat="1" ht="16.5" customHeight="1">
      <c r="A21" s="7">
        <v>13</v>
      </c>
      <c r="B21" s="240" t="s">
        <v>220</v>
      </c>
      <c r="C21" s="241" t="s">
        <v>105</v>
      </c>
      <c r="D21" s="240">
        <f>H21+J21+L21</f>
        <v>1066</v>
      </c>
      <c r="E21" s="240">
        <f t="shared" si="3"/>
        <v>28</v>
      </c>
      <c r="F21" s="12"/>
      <c r="G21" s="12"/>
      <c r="H21" s="240">
        <v>403</v>
      </c>
      <c r="I21" s="240">
        <v>10</v>
      </c>
      <c r="J21" s="240">
        <v>331</v>
      </c>
      <c r="K21" s="240">
        <v>9</v>
      </c>
      <c r="L21" s="240">
        <v>332</v>
      </c>
      <c r="M21" s="240">
        <v>9</v>
      </c>
      <c r="N21" s="240">
        <v>52</v>
      </c>
      <c r="O21" s="240">
        <v>32</v>
      </c>
      <c r="P21" s="240">
        <v>542</v>
      </c>
      <c r="Q21" s="240">
        <v>527</v>
      </c>
      <c r="R21" s="240">
        <v>288</v>
      </c>
      <c r="S21" s="240">
        <v>2</v>
      </c>
      <c r="T21" s="240">
        <v>23</v>
      </c>
      <c r="U21" s="240">
        <v>4</v>
      </c>
      <c r="V21" s="240">
        <v>1</v>
      </c>
      <c r="W21" s="240">
        <v>0</v>
      </c>
      <c r="X21" s="240">
        <v>59</v>
      </c>
      <c r="Y21" s="240">
        <v>24</v>
      </c>
      <c r="Z21" s="240">
        <v>4</v>
      </c>
      <c r="AA21" s="240">
        <v>1</v>
      </c>
      <c r="AB21" s="240">
        <v>73</v>
      </c>
      <c r="AC21" s="240"/>
      <c r="AD21" s="240">
        <v>2</v>
      </c>
      <c r="AE21" s="240">
        <v>2</v>
      </c>
      <c r="AF21" s="165">
        <f t="shared" si="4"/>
        <v>0.03389830508474576</v>
      </c>
      <c r="AG21" s="319">
        <v>27</v>
      </c>
      <c r="AH21" s="319">
        <v>75</v>
      </c>
      <c r="AI21" s="319"/>
    </row>
    <row r="22" spans="1:35" s="320" customFormat="1" ht="16.5" customHeight="1">
      <c r="A22" s="7">
        <v>14</v>
      </c>
      <c r="B22" s="240" t="s">
        <v>221</v>
      </c>
      <c r="C22" s="241"/>
      <c r="D22" s="240">
        <f t="shared" si="3"/>
        <v>1808</v>
      </c>
      <c r="E22" s="240">
        <f t="shared" si="3"/>
        <v>47</v>
      </c>
      <c r="F22" s="12"/>
      <c r="G22" s="12"/>
      <c r="H22" s="240">
        <v>648</v>
      </c>
      <c r="I22" s="240">
        <v>17</v>
      </c>
      <c r="J22" s="240">
        <v>632</v>
      </c>
      <c r="K22" s="240">
        <v>17</v>
      </c>
      <c r="L22" s="240">
        <v>528</v>
      </c>
      <c r="M22" s="240">
        <v>13</v>
      </c>
      <c r="N22" s="240">
        <v>34</v>
      </c>
      <c r="O22" s="240">
        <v>111</v>
      </c>
      <c r="P22" s="240">
        <v>958</v>
      </c>
      <c r="Q22" s="240">
        <v>101</v>
      </c>
      <c r="R22" s="240">
        <v>71</v>
      </c>
      <c r="S22" s="240"/>
      <c r="T22" s="240">
        <v>30</v>
      </c>
      <c r="U22" s="240">
        <v>6</v>
      </c>
      <c r="V22" s="240">
        <v>1</v>
      </c>
      <c r="W22" s="240">
        <v>1</v>
      </c>
      <c r="X22" s="240">
        <v>96</v>
      </c>
      <c r="Y22" s="240">
        <v>60</v>
      </c>
      <c r="Z22" s="240">
        <v>2</v>
      </c>
      <c r="AA22" s="240">
        <v>0</v>
      </c>
      <c r="AB22" s="240">
        <v>110</v>
      </c>
      <c r="AC22" s="240">
        <v>2</v>
      </c>
      <c r="AD22" s="240"/>
      <c r="AE22" s="240">
        <v>8</v>
      </c>
      <c r="AF22" s="165">
        <f t="shared" si="4"/>
        <v>0.08333333333333333</v>
      </c>
      <c r="AG22" s="319">
        <v>53</v>
      </c>
      <c r="AH22" s="319">
        <v>74</v>
      </c>
      <c r="AI22" s="319">
        <v>43</v>
      </c>
    </row>
    <row r="23" spans="1:35" s="320" customFormat="1" ht="16.5" customHeight="1">
      <c r="A23" s="7">
        <v>15</v>
      </c>
      <c r="B23" s="240" t="s">
        <v>222</v>
      </c>
      <c r="C23" s="241" t="s">
        <v>105</v>
      </c>
      <c r="D23" s="240">
        <f t="shared" si="3"/>
        <v>1042</v>
      </c>
      <c r="E23" s="240">
        <f t="shared" si="3"/>
        <v>27</v>
      </c>
      <c r="F23" s="12"/>
      <c r="G23" s="12"/>
      <c r="H23" s="240">
        <v>367</v>
      </c>
      <c r="I23" s="240">
        <v>9</v>
      </c>
      <c r="J23" s="240">
        <v>338</v>
      </c>
      <c r="K23" s="240">
        <v>9</v>
      </c>
      <c r="L23" s="240">
        <v>337</v>
      </c>
      <c r="M23" s="240">
        <v>9</v>
      </c>
      <c r="N23" s="240">
        <v>25</v>
      </c>
      <c r="O23" s="240">
        <v>20</v>
      </c>
      <c r="P23" s="240">
        <v>555</v>
      </c>
      <c r="Q23" s="240">
        <v>54</v>
      </c>
      <c r="R23" s="240">
        <v>39</v>
      </c>
      <c r="S23" s="240"/>
      <c r="T23" s="240">
        <v>19</v>
      </c>
      <c r="U23" s="240">
        <v>7</v>
      </c>
      <c r="V23" s="240">
        <v>5</v>
      </c>
      <c r="W23" s="240">
        <v>1</v>
      </c>
      <c r="X23" s="240">
        <v>60</v>
      </c>
      <c r="Y23" s="240">
        <v>37</v>
      </c>
      <c r="Z23" s="240">
        <v>3</v>
      </c>
      <c r="AA23" s="240">
        <v>0</v>
      </c>
      <c r="AB23" s="240">
        <v>70</v>
      </c>
      <c r="AC23" s="240"/>
      <c r="AD23" s="240"/>
      <c r="AE23" s="240">
        <v>7</v>
      </c>
      <c r="AF23" s="165">
        <f t="shared" si="4"/>
        <v>0.11666666666666667</v>
      </c>
      <c r="AG23" s="319"/>
      <c r="AH23" s="319"/>
      <c r="AI23" s="319"/>
    </row>
    <row r="24" spans="1:35" s="320" customFormat="1" ht="16.5" customHeight="1">
      <c r="A24" s="7">
        <v>16</v>
      </c>
      <c r="B24" s="240" t="s">
        <v>223</v>
      </c>
      <c r="C24" s="241" t="s">
        <v>105</v>
      </c>
      <c r="D24" s="240">
        <f t="shared" si="3"/>
        <v>1122</v>
      </c>
      <c r="E24" s="240">
        <f t="shared" si="3"/>
        <v>28</v>
      </c>
      <c r="F24" s="12"/>
      <c r="G24" s="12"/>
      <c r="H24" s="240">
        <v>394</v>
      </c>
      <c r="I24" s="240">
        <v>10</v>
      </c>
      <c r="J24" s="240">
        <v>373</v>
      </c>
      <c r="K24" s="240">
        <v>9</v>
      </c>
      <c r="L24" s="240">
        <v>355</v>
      </c>
      <c r="M24" s="240">
        <v>9</v>
      </c>
      <c r="N24" s="240">
        <v>21</v>
      </c>
      <c r="O24" s="240">
        <v>38</v>
      </c>
      <c r="P24" s="240">
        <v>644</v>
      </c>
      <c r="Q24" s="240">
        <v>278</v>
      </c>
      <c r="R24" s="240">
        <v>155</v>
      </c>
      <c r="S24" s="240">
        <v>3</v>
      </c>
      <c r="T24" s="240">
        <v>16</v>
      </c>
      <c r="U24" s="240">
        <v>10</v>
      </c>
      <c r="V24" s="240">
        <v>1</v>
      </c>
      <c r="W24" s="240">
        <v>1</v>
      </c>
      <c r="X24" s="240">
        <v>62</v>
      </c>
      <c r="Y24" s="240">
        <v>39</v>
      </c>
      <c r="Z24" s="240">
        <v>4</v>
      </c>
      <c r="AA24" s="240"/>
      <c r="AB24" s="240">
        <v>72</v>
      </c>
      <c r="AC24" s="240"/>
      <c r="AD24" s="240"/>
      <c r="AE24" s="240">
        <v>5</v>
      </c>
      <c r="AF24" s="165">
        <f t="shared" si="4"/>
        <v>0.08064516129032258</v>
      </c>
      <c r="AG24" s="319">
        <v>20</v>
      </c>
      <c r="AH24" s="319">
        <v>45</v>
      </c>
      <c r="AI24" s="319">
        <v>20</v>
      </c>
    </row>
    <row r="25" spans="1:35" ht="16.5" customHeight="1">
      <c r="A25" s="7">
        <v>17</v>
      </c>
      <c r="B25" s="240" t="s">
        <v>224</v>
      </c>
      <c r="C25" s="241" t="s">
        <v>105</v>
      </c>
      <c r="D25" s="240">
        <f t="shared" si="3"/>
        <v>681</v>
      </c>
      <c r="E25" s="240">
        <f t="shared" si="3"/>
        <v>24</v>
      </c>
      <c r="F25" s="12">
        <v>260</v>
      </c>
      <c r="G25" s="12">
        <v>7</v>
      </c>
      <c r="H25" s="240">
        <v>253</v>
      </c>
      <c r="I25" s="240">
        <v>8</v>
      </c>
      <c r="J25" s="240">
        <v>216</v>
      </c>
      <c r="K25" s="240">
        <v>8</v>
      </c>
      <c r="L25" s="240">
        <v>212</v>
      </c>
      <c r="M25" s="240">
        <v>8</v>
      </c>
      <c r="N25" s="240"/>
      <c r="O25" s="240"/>
      <c r="P25" s="240">
        <v>396</v>
      </c>
      <c r="Q25" s="240">
        <v>16</v>
      </c>
      <c r="R25" s="240">
        <v>10</v>
      </c>
      <c r="S25" s="240"/>
      <c r="T25" s="240">
        <v>24</v>
      </c>
      <c r="U25" s="240">
        <v>15</v>
      </c>
      <c r="V25" s="240">
        <v>3</v>
      </c>
      <c r="W25" s="240">
        <v>1</v>
      </c>
      <c r="X25" s="240">
        <v>61</v>
      </c>
      <c r="Y25" s="240">
        <v>34</v>
      </c>
      <c r="Z25" s="240">
        <v>3</v>
      </c>
      <c r="AA25" s="240">
        <v>1</v>
      </c>
      <c r="AB25" s="240">
        <v>74</v>
      </c>
      <c r="AC25" s="240"/>
      <c r="AD25" s="240"/>
      <c r="AE25" s="240">
        <v>41</v>
      </c>
      <c r="AF25" s="165">
        <f t="shared" si="4"/>
        <v>0.6721311475409836</v>
      </c>
      <c r="AG25" s="12">
        <v>3</v>
      </c>
      <c r="AH25" s="12">
        <v>33</v>
      </c>
      <c r="AI25" s="12">
        <v>1</v>
      </c>
    </row>
    <row r="26" spans="1:35" s="320" customFormat="1" ht="16.5" customHeight="1">
      <c r="A26" s="7">
        <v>18</v>
      </c>
      <c r="B26" s="240" t="s">
        <v>225</v>
      </c>
      <c r="C26" s="241"/>
      <c r="D26" s="240">
        <f t="shared" si="3"/>
        <v>199</v>
      </c>
      <c r="E26" s="240">
        <f t="shared" si="3"/>
        <v>6</v>
      </c>
      <c r="F26" s="12"/>
      <c r="G26" s="12"/>
      <c r="H26" s="240">
        <v>70</v>
      </c>
      <c r="I26" s="240">
        <v>2</v>
      </c>
      <c r="J26" s="240">
        <v>65</v>
      </c>
      <c r="K26" s="240">
        <v>2</v>
      </c>
      <c r="L26" s="240">
        <v>64</v>
      </c>
      <c r="M26" s="240">
        <v>2</v>
      </c>
      <c r="N26" s="240">
        <v>9</v>
      </c>
      <c r="O26" s="240"/>
      <c r="P26" s="240">
        <v>152</v>
      </c>
      <c r="Q26" s="240">
        <v>190</v>
      </c>
      <c r="R26" s="240">
        <v>146</v>
      </c>
      <c r="S26" s="240"/>
      <c r="T26" s="240">
        <v>6</v>
      </c>
      <c r="U26" s="240">
        <v>0</v>
      </c>
      <c r="V26" s="240">
        <v>1</v>
      </c>
      <c r="W26" s="240">
        <v>0</v>
      </c>
      <c r="X26" s="240">
        <v>14</v>
      </c>
      <c r="Y26" s="240">
        <v>10</v>
      </c>
      <c r="Z26" s="240">
        <v>2</v>
      </c>
      <c r="AA26" s="240"/>
      <c r="AB26" s="240">
        <v>20</v>
      </c>
      <c r="AC26" s="240"/>
      <c r="AD26" s="240">
        <v>1</v>
      </c>
      <c r="AE26" s="240">
        <v>3</v>
      </c>
      <c r="AF26" s="165">
        <f t="shared" si="4"/>
        <v>0.21428571428571427</v>
      </c>
      <c r="AG26" s="319">
        <v>68</v>
      </c>
      <c r="AH26" s="319"/>
      <c r="AI26" s="319">
        <v>68</v>
      </c>
    </row>
    <row r="27" spans="1:35" s="320" customFormat="1" ht="14.25" customHeight="1">
      <c r="A27" s="7">
        <v>19</v>
      </c>
      <c r="B27" s="240" t="s">
        <v>269</v>
      </c>
      <c r="C27" s="241"/>
      <c r="D27" s="240">
        <f>H27+J27+L27</f>
        <v>518</v>
      </c>
      <c r="E27" s="240">
        <f>I27+K27+M27</f>
        <v>13</v>
      </c>
      <c r="F27" s="12"/>
      <c r="G27" s="12"/>
      <c r="H27" s="240">
        <v>201</v>
      </c>
      <c r="I27" s="240">
        <v>5</v>
      </c>
      <c r="J27" s="240">
        <v>153</v>
      </c>
      <c r="K27" s="240">
        <v>4</v>
      </c>
      <c r="L27" s="240">
        <v>164</v>
      </c>
      <c r="M27" s="240">
        <v>4</v>
      </c>
      <c r="N27" s="240"/>
      <c r="O27" s="240"/>
      <c r="P27" s="240">
        <v>323</v>
      </c>
      <c r="Q27" s="240">
        <v>3</v>
      </c>
      <c r="R27" s="240">
        <v>1</v>
      </c>
      <c r="S27" s="240"/>
      <c r="T27" s="240">
        <v>9</v>
      </c>
      <c r="U27" s="240">
        <v>4</v>
      </c>
      <c r="V27" s="240">
        <v>1</v>
      </c>
      <c r="W27" s="240">
        <v>1</v>
      </c>
      <c r="X27" s="240">
        <v>26</v>
      </c>
      <c r="Y27" s="240">
        <v>13</v>
      </c>
      <c r="Z27" s="240">
        <v>1</v>
      </c>
      <c r="AA27" s="240"/>
      <c r="AB27" s="240">
        <v>32</v>
      </c>
      <c r="AC27" s="240"/>
      <c r="AD27" s="240"/>
      <c r="AE27" s="240">
        <v>1</v>
      </c>
      <c r="AF27" s="165">
        <f t="shared" si="4"/>
        <v>0.038461538461538464</v>
      </c>
      <c r="AG27" s="319"/>
      <c r="AH27" s="319"/>
      <c r="AI27" s="319"/>
    </row>
    <row r="28" spans="1:35" ht="14.25" customHeight="1">
      <c r="A28" s="7">
        <v>20</v>
      </c>
      <c r="B28" s="240" t="s">
        <v>328</v>
      </c>
      <c r="C28" s="241"/>
      <c r="D28" s="240">
        <f>H28+J28+L28</f>
        <v>198</v>
      </c>
      <c r="E28" s="240">
        <f>I28+K28+M28</f>
        <v>5</v>
      </c>
      <c r="F28" s="12"/>
      <c r="G28" s="12"/>
      <c r="H28" s="240">
        <v>198</v>
      </c>
      <c r="I28" s="240">
        <v>5</v>
      </c>
      <c r="J28" s="240"/>
      <c r="K28" s="240"/>
      <c r="L28" s="240"/>
      <c r="M28" s="240"/>
      <c r="N28" s="240"/>
      <c r="O28" s="240"/>
      <c r="P28" s="240">
        <v>76</v>
      </c>
      <c r="Q28" s="240">
        <v>1</v>
      </c>
      <c r="R28" s="240">
        <v>1</v>
      </c>
      <c r="S28" s="240"/>
      <c r="T28" s="240">
        <v>5</v>
      </c>
      <c r="U28" s="240">
        <v>4</v>
      </c>
      <c r="V28" s="240">
        <v>1</v>
      </c>
      <c r="W28" s="240"/>
      <c r="X28" s="240">
        <v>12</v>
      </c>
      <c r="Y28" s="240"/>
      <c r="Z28" s="240">
        <v>1</v>
      </c>
      <c r="AA28" s="240"/>
      <c r="AB28" s="240">
        <v>14</v>
      </c>
      <c r="AC28" s="240"/>
      <c r="AD28" s="240"/>
      <c r="AE28" s="240">
        <v>1</v>
      </c>
      <c r="AF28" s="165">
        <f t="shared" si="4"/>
        <v>0.08333333333333333</v>
      </c>
      <c r="AG28" s="12"/>
      <c r="AH28" s="12"/>
      <c r="AI28" s="12"/>
    </row>
    <row r="29" spans="1:35" ht="16.5" customHeight="1">
      <c r="A29" s="190" t="s">
        <v>112</v>
      </c>
      <c r="B29" s="12"/>
      <c r="C29" s="12"/>
      <c r="D29" s="12">
        <f>SUM(D30:D31)</f>
        <v>239</v>
      </c>
      <c r="E29" s="12">
        <f>SUM(E30:E31)</f>
        <v>11</v>
      </c>
      <c r="F29" s="12">
        <f>SUM(F30:F31)</f>
        <v>471</v>
      </c>
      <c r="G29" s="12">
        <f>SUM(G30:G31)</f>
        <v>12</v>
      </c>
      <c r="H29" s="12">
        <f aca="true" t="shared" si="5" ref="H29:AE29">SUM(H30:H31)</f>
        <v>93</v>
      </c>
      <c r="I29" s="12">
        <f t="shared" si="5"/>
        <v>4</v>
      </c>
      <c r="J29" s="12">
        <f t="shared" si="5"/>
        <v>79</v>
      </c>
      <c r="K29" s="12">
        <f t="shared" si="5"/>
        <v>3</v>
      </c>
      <c r="L29" s="12">
        <f t="shared" si="5"/>
        <v>67</v>
      </c>
      <c r="M29" s="12">
        <f t="shared" si="5"/>
        <v>4</v>
      </c>
      <c r="N29" s="12"/>
      <c r="O29" s="12"/>
      <c r="P29" s="12">
        <f t="shared" si="5"/>
        <v>106</v>
      </c>
      <c r="Q29" s="12">
        <f t="shared" si="5"/>
        <v>3</v>
      </c>
      <c r="R29" s="12">
        <f t="shared" si="5"/>
        <v>2</v>
      </c>
      <c r="S29" s="12">
        <f t="shared" si="5"/>
        <v>0</v>
      </c>
      <c r="T29" s="12">
        <f t="shared" si="5"/>
        <v>11</v>
      </c>
      <c r="U29" s="12">
        <f t="shared" si="5"/>
        <v>6</v>
      </c>
      <c r="V29" s="12">
        <f t="shared" si="5"/>
        <v>2</v>
      </c>
      <c r="W29" s="12">
        <f t="shared" si="5"/>
        <v>2</v>
      </c>
      <c r="X29" s="12">
        <f t="shared" si="5"/>
        <v>16</v>
      </c>
      <c r="Y29" s="12">
        <f t="shared" si="5"/>
        <v>14</v>
      </c>
      <c r="Z29" s="12">
        <f t="shared" si="5"/>
        <v>4</v>
      </c>
      <c r="AA29" s="12">
        <f t="shared" si="5"/>
        <v>1</v>
      </c>
      <c r="AB29" s="12">
        <f t="shared" si="5"/>
        <v>40</v>
      </c>
      <c r="AC29" s="12"/>
      <c r="AD29" s="12"/>
      <c r="AE29" s="12">
        <f t="shared" si="5"/>
        <v>2</v>
      </c>
      <c r="AF29" s="165">
        <f>AE29/X29</f>
        <v>0.125</v>
      </c>
      <c r="AG29" s="12"/>
      <c r="AH29" s="12"/>
      <c r="AI29" s="12"/>
    </row>
    <row r="30" spans="1:35" ht="16.5" customHeight="1">
      <c r="A30" s="7">
        <v>20</v>
      </c>
      <c r="B30" s="12" t="s">
        <v>96</v>
      </c>
      <c r="C30" s="12"/>
      <c r="D30" s="12">
        <f>H30+J30+L30</f>
        <v>133</v>
      </c>
      <c r="E30" s="12">
        <f>I30+K30+M30</f>
        <v>7</v>
      </c>
      <c r="F30" s="12">
        <v>471</v>
      </c>
      <c r="G30" s="12">
        <v>12</v>
      </c>
      <c r="H30" s="12">
        <v>40</v>
      </c>
      <c r="I30" s="12">
        <v>2</v>
      </c>
      <c r="J30" s="12">
        <v>46</v>
      </c>
      <c r="K30" s="12">
        <v>2</v>
      </c>
      <c r="L30" s="12">
        <v>47</v>
      </c>
      <c r="M30" s="12">
        <v>3</v>
      </c>
      <c r="N30" s="12"/>
      <c r="O30" s="12"/>
      <c r="P30" s="12">
        <v>53</v>
      </c>
      <c r="Q30" s="12">
        <v>2</v>
      </c>
      <c r="R30" s="12">
        <v>1</v>
      </c>
      <c r="S30" s="12"/>
      <c r="T30" s="22">
        <v>7</v>
      </c>
      <c r="U30" s="22">
        <v>4</v>
      </c>
      <c r="V30" s="22">
        <v>1</v>
      </c>
      <c r="W30" s="12">
        <v>1</v>
      </c>
      <c r="X30" s="22">
        <v>9</v>
      </c>
      <c r="Y30" s="22">
        <v>7</v>
      </c>
      <c r="Z30" s="22">
        <v>2</v>
      </c>
      <c r="AA30" s="22">
        <v>1</v>
      </c>
      <c r="AB30" s="22">
        <v>20</v>
      </c>
      <c r="AC30" s="22"/>
      <c r="AD30" s="22"/>
      <c r="AE30" s="12">
        <v>1</v>
      </c>
      <c r="AF30" s="165">
        <f>AE30/X30</f>
        <v>0.1111111111111111</v>
      </c>
      <c r="AG30" s="12"/>
      <c r="AH30" s="12"/>
      <c r="AI30" s="12"/>
    </row>
    <row r="31" spans="1:35" ht="15.75" customHeight="1">
      <c r="A31" s="7">
        <v>21</v>
      </c>
      <c r="B31" s="12" t="s">
        <v>248</v>
      </c>
      <c r="C31" s="12"/>
      <c r="D31" s="12">
        <f>H31+J31+L31</f>
        <v>106</v>
      </c>
      <c r="E31" s="12">
        <f>I31+K31+M31</f>
        <v>4</v>
      </c>
      <c r="F31" s="12"/>
      <c r="G31" s="12"/>
      <c r="H31" s="12">
        <v>53</v>
      </c>
      <c r="I31" s="12">
        <v>2</v>
      </c>
      <c r="J31" s="12">
        <v>33</v>
      </c>
      <c r="K31" s="12">
        <v>1</v>
      </c>
      <c r="L31" s="12">
        <v>20</v>
      </c>
      <c r="M31" s="12">
        <v>1</v>
      </c>
      <c r="N31" s="12"/>
      <c r="O31" s="12"/>
      <c r="P31" s="12">
        <v>53</v>
      </c>
      <c r="Q31" s="12">
        <v>1</v>
      </c>
      <c r="R31" s="12">
        <v>1</v>
      </c>
      <c r="S31" s="12"/>
      <c r="T31" s="12">
        <v>4</v>
      </c>
      <c r="U31" s="12">
        <v>2</v>
      </c>
      <c r="V31" s="12">
        <v>1</v>
      </c>
      <c r="W31" s="12">
        <v>1</v>
      </c>
      <c r="X31" s="12">
        <v>7</v>
      </c>
      <c r="Y31" s="12">
        <v>7</v>
      </c>
      <c r="Z31" s="12">
        <v>2</v>
      </c>
      <c r="AA31" s="12"/>
      <c r="AB31" s="12">
        <v>20</v>
      </c>
      <c r="AC31" s="12"/>
      <c r="AD31" s="12"/>
      <c r="AE31" s="12">
        <v>1</v>
      </c>
      <c r="AF31" s="12">
        <f>AE31/X31</f>
        <v>0.14285714285714285</v>
      </c>
      <c r="AG31" s="12"/>
      <c r="AH31" s="12"/>
      <c r="AI31" s="12"/>
    </row>
    <row r="32" spans="1:21" ht="12.75" hidden="1">
      <c r="A32" s="182"/>
      <c r="U32" s="56"/>
    </row>
    <row r="33" spans="3:21" ht="12.75" hidden="1">
      <c r="C33" s="6" t="s">
        <v>265</v>
      </c>
      <c r="U33" s="56"/>
    </row>
    <row r="34" spans="3:21" ht="12.75" hidden="1">
      <c r="C34" s="6" t="s">
        <v>266</v>
      </c>
      <c r="U34" s="56"/>
    </row>
    <row r="35" spans="3:21" ht="12.75" hidden="1">
      <c r="C35" s="6" t="s">
        <v>267</v>
      </c>
      <c r="U35" s="56"/>
    </row>
    <row r="36" spans="3:21" ht="12.75" hidden="1">
      <c r="C36" s="6" t="s">
        <v>267</v>
      </c>
      <c r="U36" s="56"/>
    </row>
    <row r="37" ht="12.75" hidden="1">
      <c r="U37" s="56"/>
    </row>
    <row r="38" ht="12.75" hidden="1">
      <c r="U38" s="56"/>
    </row>
    <row r="39" ht="12.75" hidden="1">
      <c r="U39" s="56"/>
    </row>
    <row r="40" ht="12.75" hidden="1">
      <c r="U40" s="56"/>
    </row>
    <row r="41" spans="21:30" ht="12.75">
      <c r="U41" s="56"/>
      <c r="AB41" s="14" t="s">
        <v>318</v>
      </c>
      <c r="AC41" s="14"/>
      <c r="AD41" s="14"/>
    </row>
    <row r="42" spans="3:30" ht="12.75">
      <c r="C42" s="19" t="s">
        <v>73</v>
      </c>
      <c r="AB42" s="2" t="s">
        <v>63</v>
      </c>
      <c r="AC42" s="2"/>
      <c r="AD42" s="2"/>
    </row>
    <row r="43" spans="28:30" ht="12.75">
      <c r="AB43" s="2" t="s">
        <v>64</v>
      </c>
      <c r="AC43" s="2"/>
      <c r="AD43" s="2"/>
    </row>
    <row r="44" spans="28:30" ht="12.75">
      <c r="AB44" s="16"/>
      <c r="AC44" s="16"/>
      <c r="AD44" s="16"/>
    </row>
    <row r="45" spans="28:30" ht="12.75">
      <c r="AB45" s="16"/>
      <c r="AC45" s="16"/>
      <c r="AD45" s="16"/>
    </row>
    <row r="46" spans="28:30" ht="12.75">
      <c r="AB46" s="16"/>
      <c r="AC46" s="16"/>
      <c r="AD46" s="16"/>
    </row>
    <row r="49" spans="3:30" ht="15.75">
      <c r="C49" s="14" t="s">
        <v>74</v>
      </c>
      <c r="AB49" s="13" t="s">
        <v>72</v>
      </c>
      <c r="AC49" s="13"/>
      <c r="AD49" s="13"/>
    </row>
  </sheetData>
  <sheetProtection/>
  <mergeCells count="25">
    <mergeCell ref="AC4:AC6"/>
    <mergeCell ref="AD4:AD6"/>
    <mergeCell ref="AG4:AI5"/>
    <mergeCell ref="T4:W5"/>
    <mergeCell ref="F4:G5"/>
    <mergeCell ref="AE4:AF5"/>
    <mergeCell ref="S4:S6"/>
    <mergeCell ref="Z4:AA5"/>
    <mergeCell ref="X4:Y5"/>
    <mergeCell ref="N5:N6"/>
    <mergeCell ref="A1:D1"/>
    <mergeCell ref="A2:D2"/>
    <mergeCell ref="Q4:R5"/>
    <mergeCell ref="P5:P6"/>
    <mergeCell ref="L5:M5"/>
    <mergeCell ref="C4:C6"/>
    <mergeCell ref="H4:P4"/>
    <mergeCell ref="A7:B7"/>
    <mergeCell ref="AB4:AB6"/>
    <mergeCell ref="A4:A6"/>
    <mergeCell ref="B4:B6"/>
    <mergeCell ref="H5:I5"/>
    <mergeCell ref="J5:K5"/>
    <mergeCell ref="D4:E5"/>
    <mergeCell ref="O5:O6"/>
  </mergeCells>
  <printOptions horizontalCentered="1"/>
  <pageMargins left="0" right="0" top="0.2362204724409449" bottom="0.2362204724409449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I29" sqref="I29"/>
    </sheetView>
  </sheetViews>
  <sheetFormatPr defaultColWidth="8.88671875" defaultRowHeight="18.75"/>
  <cols>
    <col min="1" max="1" width="2.99609375" style="6" customWidth="1"/>
    <col min="2" max="2" width="19.3359375" style="6" customWidth="1"/>
    <col min="3" max="3" width="5.6640625" style="6" customWidth="1"/>
    <col min="4" max="4" width="5.99609375" style="6" customWidth="1"/>
    <col min="5" max="5" width="5.5546875" style="6" customWidth="1"/>
    <col min="6" max="6" width="4.88671875" style="6" customWidth="1"/>
    <col min="7" max="7" width="5.4453125" style="6" customWidth="1"/>
    <col min="8" max="8" width="4.6640625" style="6" customWidth="1"/>
    <col min="9" max="9" width="3.99609375" style="6" customWidth="1"/>
    <col min="10" max="10" width="3.6640625" style="6" customWidth="1"/>
    <col min="11" max="11" width="3.99609375" style="6" customWidth="1"/>
    <col min="12" max="12" width="4.21484375" style="6" customWidth="1"/>
    <col min="13" max="13" width="3.88671875" style="6" customWidth="1"/>
    <col min="14" max="15" width="3.99609375" style="6" customWidth="1"/>
    <col min="16" max="16" width="4.99609375" style="6" customWidth="1"/>
    <col min="17" max="17" width="4.77734375" style="6" customWidth="1"/>
    <col min="18" max="18" width="4.99609375" style="6" customWidth="1"/>
    <col min="19" max="19" width="5.10546875" style="6" customWidth="1"/>
    <col min="20" max="20" width="4.10546875" style="6" customWidth="1"/>
    <col min="21" max="22" width="5.10546875" style="6" customWidth="1"/>
    <col min="23" max="16384" width="8.88671875" style="6" customWidth="1"/>
  </cols>
  <sheetData>
    <row r="1" spans="1:22" ht="18.75">
      <c r="A1" s="522" t="s">
        <v>23</v>
      </c>
      <c r="B1" s="522"/>
      <c r="C1" s="522"/>
      <c r="D1" s="522"/>
      <c r="E1" s="19"/>
      <c r="L1" s="4"/>
      <c r="M1" s="4"/>
      <c r="N1" s="4"/>
      <c r="O1" s="17" t="s">
        <v>150</v>
      </c>
      <c r="P1" s="4"/>
      <c r="Q1" s="4"/>
      <c r="R1" s="4"/>
      <c r="T1" s="4"/>
      <c r="U1" s="4"/>
      <c r="V1" s="4"/>
    </row>
    <row r="2" spans="1:22" ht="15.75">
      <c r="A2" s="523" t="s">
        <v>24</v>
      </c>
      <c r="B2" s="523"/>
      <c r="C2" s="523"/>
      <c r="D2" s="523"/>
      <c r="E2" s="20"/>
      <c r="K2" s="13"/>
      <c r="L2" s="13"/>
      <c r="M2" s="13"/>
      <c r="N2" s="13"/>
      <c r="O2" s="55" t="s">
        <v>335</v>
      </c>
      <c r="P2" s="13"/>
      <c r="Q2" s="13"/>
      <c r="R2" s="13"/>
      <c r="T2" s="13"/>
      <c r="U2" s="13"/>
      <c r="V2" s="13"/>
    </row>
    <row r="3" spans="2:22" ht="15.75">
      <c r="B3" s="55"/>
      <c r="C3" s="55"/>
      <c r="D3" s="55"/>
      <c r="E3" s="55"/>
      <c r="F3" s="55"/>
      <c r="G3" s="55"/>
      <c r="H3" s="55"/>
      <c r="I3" s="55"/>
      <c r="K3" s="55"/>
      <c r="L3" s="55"/>
      <c r="M3" s="55"/>
      <c r="N3" s="55"/>
      <c r="O3" s="55"/>
      <c r="P3" s="55"/>
      <c r="Q3" s="55"/>
      <c r="R3" s="55"/>
      <c r="T3" s="55"/>
      <c r="U3" s="55"/>
      <c r="V3" s="55"/>
    </row>
    <row r="4" spans="2:22" ht="15.75">
      <c r="B4" s="55"/>
      <c r="C4" s="55"/>
      <c r="D4" s="55"/>
      <c r="E4" s="55"/>
      <c r="F4" s="55"/>
      <c r="G4" s="55"/>
      <c r="H4" s="55"/>
      <c r="I4" s="55"/>
      <c r="J4" s="56"/>
      <c r="K4" s="55"/>
      <c r="L4" s="55"/>
      <c r="M4" s="55"/>
      <c r="N4" s="55"/>
      <c r="O4" s="55"/>
      <c r="P4" s="55"/>
      <c r="Q4" s="55"/>
      <c r="R4" s="55"/>
      <c r="S4" s="56"/>
      <c r="T4" s="55"/>
      <c r="U4" s="55"/>
      <c r="V4" s="55"/>
    </row>
    <row r="5" spans="1:22" ht="18.75" customHeight="1">
      <c r="A5" s="477" t="s">
        <v>0</v>
      </c>
      <c r="B5" s="525" t="s">
        <v>41</v>
      </c>
      <c r="C5" s="477" t="s">
        <v>28</v>
      </c>
      <c r="D5" s="477"/>
      <c r="E5" s="477" t="s">
        <v>25</v>
      </c>
      <c r="F5" s="477"/>
      <c r="G5" s="477"/>
      <c r="H5" s="477"/>
      <c r="I5" s="477"/>
      <c r="J5" s="477"/>
      <c r="K5" s="477" t="s">
        <v>113</v>
      </c>
      <c r="L5" s="525" t="s">
        <v>65</v>
      </c>
      <c r="M5" s="525"/>
      <c r="N5" s="477" t="s">
        <v>117</v>
      </c>
      <c r="O5" s="477"/>
      <c r="P5" s="477"/>
      <c r="Q5" s="477"/>
      <c r="R5" s="477" t="s">
        <v>26</v>
      </c>
      <c r="S5" s="477"/>
      <c r="T5" s="477" t="s">
        <v>116</v>
      </c>
      <c r="U5" s="477"/>
      <c r="V5" s="543" t="s">
        <v>27</v>
      </c>
    </row>
    <row r="6" spans="1:22" ht="20.25" customHeight="1">
      <c r="A6" s="477"/>
      <c r="B6" s="525"/>
      <c r="C6" s="477"/>
      <c r="D6" s="477"/>
      <c r="E6" s="477" t="s">
        <v>29</v>
      </c>
      <c r="F6" s="477"/>
      <c r="G6" s="477" t="s">
        <v>30</v>
      </c>
      <c r="H6" s="477"/>
      <c r="I6" s="477" t="s">
        <v>31</v>
      </c>
      <c r="J6" s="477"/>
      <c r="K6" s="477"/>
      <c r="L6" s="525"/>
      <c r="M6" s="525"/>
      <c r="N6" s="477"/>
      <c r="O6" s="477"/>
      <c r="P6" s="477"/>
      <c r="Q6" s="477"/>
      <c r="R6" s="477" t="s">
        <v>34</v>
      </c>
      <c r="S6" s="477" t="s">
        <v>33</v>
      </c>
      <c r="T6" s="477" t="s">
        <v>34</v>
      </c>
      <c r="U6" s="477" t="s">
        <v>33</v>
      </c>
      <c r="V6" s="543"/>
    </row>
    <row r="7" spans="1:22" ht="38.25">
      <c r="A7" s="477"/>
      <c r="B7" s="525"/>
      <c r="C7" s="8" t="s">
        <v>35</v>
      </c>
      <c r="D7" s="9" t="s">
        <v>36</v>
      </c>
      <c r="E7" s="8" t="s">
        <v>35</v>
      </c>
      <c r="F7" s="9" t="s">
        <v>36</v>
      </c>
      <c r="G7" s="8" t="s">
        <v>35</v>
      </c>
      <c r="H7" s="9" t="s">
        <v>36</v>
      </c>
      <c r="I7" s="8" t="s">
        <v>35</v>
      </c>
      <c r="J7" s="9" t="s">
        <v>36</v>
      </c>
      <c r="K7" s="477"/>
      <c r="L7" s="9" t="s">
        <v>114</v>
      </c>
      <c r="M7" s="9" t="s">
        <v>113</v>
      </c>
      <c r="N7" s="8" t="s">
        <v>120</v>
      </c>
      <c r="O7" s="8" t="s">
        <v>119</v>
      </c>
      <c r="P7" s="8" t="s">
        <v>121</v>
      </c>
      <c r="Q7" s="8" t="s">
        <v>118</v>
      </c>
      <c r="R7" s="477"/>
      <c r="S7" s="477"/>
      <c r="T7" s="477"/>
      <c r="U7" s="477"/>
      <c r="V7" s="543"/>
    </row>
    <row r="8" spans="1:22" s="11" customFormat="1" ht="18.75" customHeight="1">
      <c r="A8" s="1" t="s">
        <v>102</v>
      </c>
      <c r="B8" s="59" t="s">
        <v>86</v>
      </c>
      <c r="C8" s="10">
        <f>SUM(C9:C12)</f>
        <v>1264</v>
      </c>
      <c r="D8" s="10">
        <f aca="true" t="shared" si="0" ref="D8:V8">SUM(D9:D12)</f>
        <v>26</v>
      </c>
      <c r="E8" s="10">
        <f t="shared" si="0"/>
        <v>606</v>
      </c>
      <c r="F8" s="10">
        <f t="shared" si="0"/>
        <v>12</v>
      </c>
      <c r="G8" s="10">
        <f t="shared" si="0"/>
        <v>350</v>
      </c>
      <c r="H8" s="10">
        <f t="shared" si="0"/>
        <v>7</v>
      </c>
      <c r="I8" s="10">
        <f t="shared" si="0"/>
        <v>308</v>
      </c>
      <c r="J8" s="10">
        <f t="shared" si="0"/>
        <v>7</v>
      </c>
      <c r="K8" s="10">
        <f t="shared" si="0"/>
        <v>632</v>
      </c>
      <c r="L8" s="10">
        <f t="shared" si="0"/>
        <v>80</v>
      </c>
      <c r="M8" s="10">
        <f t="shared" si="0"/>
        <v>46</v>
      </c>
      <c r="N8" s="10">
        <f t="shared" si="0"/>
        <v>32</v>
      </c>
      <c r="O8" s="10">
        <f t="shared" si="0"/>
        <v>4</v>
      </c>
      <c r="P8" s="10">
        <f t="shared" si="0"/>
        <v>1</v>
      </c>
      <c r="Q8" s="10">
        <f t="shared" si="0"/>
        <v>0</v>
      </c>
      <c r="R8" s="10">
        <f t="shared" si="0"/>
        <v>34</v>
      </c>
      <c r="S8" s="10">
        <f t="shared" si="0"/>
        <v>4</v>
      </c>
      <c r="T8" s="10">
        <f t="shared" si="0"/>
        <v>2</v>
      </c>
      <c r="U8" s="10">
        <f t="shared" si="0"/>
        <v>0</v>
      </c>
      <c r="V8" s="10">
        <f t="shared" si="0"/>
        <v>51</v>
      </c>
    </row>
    <row r="9" spans="1:22" ht="15.75" customHeight="1">
      <c r="A9" s="7">
        <v>1</v>
      </c>
      <c r="B9" s="12" t="s">
        <v>268</v>
      </c>
      <c r="C9" s="12">
        <f aca="true" t="shared" si="1" ref="C9:D11">E9+G9+I9</f>
        <v>1264</v>
      </c>
      <c r="D9" s="12">
        <f t="shared" si="1"/>
        <v>26</v>
      </c>
      <c r="E9" s="12">
        <v>606</v>
      </c>
      <c r="F9" s="12">
        <v>12</v>
      </c>
      <c r="G9" s="12">
        <v>350</v>
      </c>
      <c r="H9" s="12">
        <v>7</v>
      </c>
      <c r="I9" s="12">
        <v>308</v>
      </c>
      <c r="J9" s="12">
        <v>7</v>
      </c>
      <c r="K9" s="12">
        <f>C9/2</f>
        <v>632</v>
      </c>
      <c r="L9" s="12">
        <v>80</v>
      </c>
      <c r="M9" s="12">
        <v>46</v>
      </c>
      <c r="N9" s="12">
        <f>11+15+6</f>
        <v>32</v>
      </c>
      <c r="O9" s="12">
        <v>4</v>
      </c>
      <c r="P9" s="12">
        <v>1</v>
      </c>
      <c r="Q9" s="12">
        <v>0</v>
      </c>
      <c r="R9" s="12">
        <f>29+5</f>
        <v>34</v>
      </c>
      <c r="S9" s="12">
        <v>4</v>
      </c>
      <c r="T9" s="12">
        <v>2</v>
      </c>
      <c r="U9" s="12">
        <v>0</v>
      </c>
      <c r="V9" s="12">
        <v>51</v>
      </c>
    </row>
    <row r="10" spans="1:22" ht="15.75" customHeight="1" hidden="1">
      <c r="A10" s="7">
        <v>2</v>
      </c>
      <c r="B10" s="12" t="s">
        <v>252</v>
      </c>
      <c r="C10" s="12">
        <f t="shared" si="1"/>
        <v>0</v>
      </c>
      <c r="D10" s="12">
        <f t="shared" si="1"/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/>
      <c r="S10" s="12"/>
      <c r="T10" s="12"/>
      <c r="U10" s="12"/>
      <c r="V10" s="12"/>
    </row>
    <row r="11" spans="1:22" ht="15.75" customHeight="1" hidden="1">
      <c r="A11" s="7">
        <v>3</v>
      </c>
      <c r="B11" s="12" t="s">
        <v>251</v>
      </c>
      <c r="C11" s="12">
        <f t="shared" si="1"/>
        <v>0</v>
      </c>
      <c r="D11" s="12">
        <f t="shared" si="1"/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/>
      <c r="S11" s="12"/>
      <c r="T11" s="12"/>
      <c r="U11" s="12"/>
      <c r="V11" s="12"/>
    </row>
    <row r="12" spans="1:22" ht="15.75" customHeight="1" hidden="1">
      <c r="A12" s="7">
        <v>4</v>
      </c>
      <c r="B12" s="12" t="s">
        <v>250</v>
      </c>
      <c r="C12" s="12">
        <f>E12+G12+I12</f>
        <v>0</v>
      </c>
      <c r="D12" s="12">
        <f>F12+H12+J12</f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/>
      <c r="S12" s="12"/>
      <c r="T12" s="12"/>
      <c r="U12" s="12"/>
      <c r="V12" s="12"/>
    </row>
    <row r="13" spans="1:22" ht="15.75" customHeight="1">
      <c r="A13" s="21" t="s">
        <v>103</v>
      </c>
      <c r="B13" s="51" t="s">
        <v>134</v>
      </c>
      <c r="C13" s="477" t="s">
        <v>11</v>
      </c>
      <c r="D13" s="477"/>
      <c r="E13" s="477" t="s">
        <v>146</v>
      </c>
      <c r="F13" s="477"/>
      <c r="G13" s="477" t="s">
        <v>147</v>
      </c>
      <c r="H13" s="477"/>
      <c r="I13" s="12"/>
      <c r="J13" s="12"/>
      <c r="K13" s="12"/>
      <c r="L13" s="545" t="s">
        <v>151</v>
      </c>
      <c r="M13" s="545"/>
      <c r="N13" s="550" t="s">
        <v>133</v>
      </c>
      <c r="O13" s="550"/>
      <c r="P13" s="550"/>
      <c r="Q13" s="550"/>
      <c r="R13" s="549" t="s">
        <v>131</v>
      </c>
      <c r="S13" s="549"/>
      <c r="T13" s="549" t="s">
        <v>132</v>
      </c>
      <c r="U13" s="549"/>
      <c r="V13" s="285" t="s">
        <v>141</v>
      </c>
    </row>
    <row r="14" spans="1:25" ht="20.25" customHeight="1">
      <c r="A14" s="7">
        <v>1</v>
      </c>
      <c r="B14" s="12" t="s">
        <v>268</v>
      </c>
      <c r="C14" s="52">
        <f aca="true" t="shared" si="2" ref="C14:D18">E14+G14</f>
        <v>13988</v>
      </c>
      <c r="D14" s="52">
        <f t="shared" si="2"/>
        <v>7148</v>
      </c>
      <c r="E14" s="52">
        <f>THCS!M6</f>
        <v>8483</v>
      </c>
      <c r="F14" s="52">
        <f>THCS!M14</f>
        <v>2560</v>
      </c>
      <c r="G14" s="52">
        <f>THPT!L7</f>
        <v>5505</v>
      </c>
      <c r="H14" s="52">
        <f>THPT!J9+THPT!J11+THPT!J12+THPT!J13+THPT!J14+THPT!J15+THPT!J16+THPT!J18+THPT!J22+THPT!J23+THPT!J24+THPT!J25</f>
        <v>4588</v>
      </c>
      <c r="I14" s="12"/>
      <c r="J14" s="12"/>
      <c r="K14" s="12"/>
      <c r="L14" s="545"/>
      <c r="M14" s="545"/>
      <c r="N14" s="7">
        <v>25</v>
      </c>
      <c r="O14" s="7">
        <v>4</v>
      </c>
      <c r="P14" s="7">
        <v>1</v>
      </c>
      <c r="Q14" s="7">
        <v>1</v>
      </c>
      <c r="R14" s="7">
        <v>6</v>
      </c>
      <c r="S14" s="162">
        <f>R14/($R14+$V14)</f>
        <v>1</v>
      </c>
      <c r="T14" s="7">
        <v>2</v>
      </c>
      <c r="U14" s="83">
        <f>T14/($R14+$V14)</f>
        <v>0.3333333333333333</v>
      </c>
      <c r="V14" s="286">
        <v>0</v>
      </c>
      <c r="W14" s="14"/>
      <c r="X14" s="14"/>
      <c r="Y14" s="14"/>
    </row>
    <row r="15" spans="1:25" ht="15.75" customHeight="1" hidden="1">
      <c r="A15" s="7">
        <v>2</v>
      </c>
      <c r="B15" s="12" t="str">
        <f>B10</f>
        <v>TT GDNN-GDTX Ninh Sơn</v>
      </c>
      <c r="C15" s="52">
        <f t="shared" si="2"/>
        <v>0</v>
      </c>
      <c r="D15" s="52">
        <f t="shared" si="2"/>
        <v>0</v>
      </c>
      <c r="E15" s="52"/>
      <c r="F15" s="52"/>
      <c r="G15" s="52"/>
      <c r="H15" s="52"/>
      <c r="I15" s="12"/>
      <c r="J15" s="12"/>
      <c r="K15" s="12"/>
      <c r="L15" s="545"/>
      <c r="M15" s="545"/>
      <c r="N15" s="9"/>
      <c r="O15" s="9"/>
      <c r="P15" s="9"/>
      <c r="Q15" s="9"/>
      <c r="R15" s="9"/>
      <c r="S15" s="83"/>
      <c r="T15" s="9"/>
      <c r="U15" s="83"/>
      <c r="V15" s="9"/>
      <c r="W15" s="2"/>
      <c r="X15" s="2"/>
      <c r="Y15" s="2"/>
    </row>
    <row r="16" spans="1:25" ht="15.75" customHeight="1" hidden="1">
      <c r="A16" s="7">
        <v>3</v>
      </c>
      <c r="B16" s="12" t="str">
        <f>B11</f>
        <v>TT GDNN-GDTX Ninh Phước</v>
      </c>
      <c r="C16" s="52">
        <f t="shared" si="2"/>
        <v>0</v>
      </c>
      <c r="D16" s="52">
        <f t="shared" si="2"/>
        <v>0</v>
      </c>
      <c r="E16" s="52"/>
      <c r="F16" s="52"/>
      <c r="G16" s="52"/>
      <c r="H16" s="52"/>
      <c r="I16" s="12"/>
      <c r="J16" s="12"/>
      <c r="K16" s="12"/>
      <c r="L16" s="545"/>
      <c r="M16" s="545"/>
      <c r="N16" s="7"/>
      <c r="O16" s="7"/>
      <c r="P16" s="7"/>
      <c r="Q16" s="7"/>
      <c r="R16" s="7"/>
      <c r="S16" s="162"/>
      <c r="T16" s="7"/>
      <c r="U16" s="83"/>
      <c r="V16" s="7"/>
      <c r="W16" s="16"/>
      <c r="X16" s="16"/>
      <c r="Y16" s="16"/>
    </row>
    <row r="17" spans="1:25" ht="15.75" customHeight="1" hidden="1">
      <c r="A17" s="7">
        <v>4</v>
      </c>
      <c r="B17" s="12" t="str">
        <f>B12</f>
        <v>TT GDNN-GDTX Thuận Bắc</v>
      </c>
      <c r="C17" s="52"/>
      <c r="D17" s="52">
        <f t="shared" si="2"/>
        <v>0</v>
      </c>
      <c r="E17" s="52"/>
      <c r="F17" s="52"/>
      <c r="G17" s="52"/>
      <c r="H17" s="52"/>
      <c r="I17" s="12"/>
      <c r="J17" s="12"/>
      <c r="K17" s="12"/>
      <c r="L17" s="545"/>
      <c r="M17" s="545"/>
      <c r="N17" s="7"/>
      <c r="O17" s="7"/>
      <c r="P17" s="7"/>
      <c r="Q17" s="7"/>
      <c r="R17" s="7"/>
      <c r="S17" s="162"/>
      <c r="T17" s="7"/>
      <c r="U17" s="83"/>
      <c r="V17" s="7"/>
      <c r="W17" s="16"/>
      <c r="X17" s="16"/>
      <c r="Y17" s="16"/>
    </row>
    <row r="18" spans="1:25" ht="17.25" customHeight="1">
      <c r="A18" s="12"/>
      <c r="B18" s="21" t="s">
        <v>106</v>
      </c>
      <c r="C18" s="53">
        <f t="shared" si="2"/>
        <v>13988</v>
      </c>
      <c r="D18" s="53">
        <f t="shared" si="2"/>
        <v>7148</v>
      </c>
      <c r="E18" s="52">
        <f>THCS!M6</f>
        <v>8483</v>
      </c>
      <c r="F18" s="52">
        <f>SUM(F14:F17)</f>
        <v>2560</v>
      </c>
      <c r="G18" s="52">
        <f>G14</f>
        <v>5505</v>
      </c>
      <c r="H18" s="52">
        <f>H14</f>
        <v>4588</v>
      </c>
      <c r="I18" s="12"/>
      <c r="J18" s="12"/>
      <c r="K18" s="12"/>
      <c r="L18" s="547" t="s">
        <v>106</v>
      </c>
      <c r="M18" s="547"/>
      <c r="N18" s="7">
        <f>SUM(N14:N16)</f>
        <v>25</v>
      </c>
      <c r="O18" s="7">
        <f>SUM(O14:O16)</f>
        <v>4</v>
      </c>
      <c r="P18" s="7">
        <f>SUM(P14:P16)</f>
        <v>1</v>
      </c>
      <c r="Q18" s="7">
        <f>SUM(Q14:Q16)</f>
        <v>1</v>
      </c>
      <c r="R18" s="7">
        <f>SUM(R14:R16)</f>
        <v>6</v>
      </c>
      <c r="S18" s="83">
        <f>R18/($R18+$V18)</f>
        <v>1</v>
      </c>
      <c r="T18" s="7">
        <f>SUM(T14:T16)</f>
        <v>2</v>
      </c>
      <c r="U18" s="83">
        <f>T18/($R18+$V18)</f>
        <v>0.3333333333333333</v>
      </c>
      <c r="V18" s="7">
        <f>SUM(V14:V16)</f>
        <v>0</v>
      </c>
      <c r="W18" s="16"/>
      <c r="X18" s="16"/>
      <c r="Y18" s="16"/>
    </row>
    <row r="19" spans="1:25" ht="15.75" customHeight="1">
      <c r="A19" s="12"/>
      <c r="B19" s="12"/>
      <c r="C19" s="7" t="s">
        <v>148</v>
      </c>
      <c r="D19" s="7" t="s">
        <v>149</v>
      </c>
      <c r="E19" s="7" t="s">
        <v>148</v>
      </c>
      <c r="F19" s="7" t="s">
        <v>149</v>
      </c>
      <c r="G19" s="7" t="s">
        <v>148</v>
      </c>
      <c r="H19" s="7" t="s">
        <v>149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28.5" customHeight="1">
      <c r="A20" s="167" t="s">
        <v>102</v>
      </c>
      <c r="B20" s="548" t="s">
        <v>297</v>
      </c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16"/>
      <c r="X20" s="16"/>
      <c r="Y20" s="16"/>
    </row>
    <row r="21" spans="1:25" ht="12.75">
      <c r="A21" s="167" t="s">
        <v>103</v>
      </c>
      <c r="B21" s="546" t="s">
        <v>364</v>
      </c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16"/>
      <c r="X21" s="16"/>
      <c r="Y21" s="16"/>
    </row>
    <row r="22" spans="1:25" ht="12.75">
      <c r="A22" s="58"/>
      <c r="B22" s="56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16"/>
      <c r="X22" s="16"/>
      <c r="Y22" s="16"/>
    </row>
    <row r="23" spans="3:25" ht="12.75">
      <c r="C23" s="58"/>
      <c r="D23" s="58"/>
      <c r="E23" s="58"/>
      <c r="F23" s="58"/>
      <c r="G23" s="58"/>
      <c r="H23" s="58"/>
      <c r="M23" s="16"/>
      <c r="N23" s="16"/>
      <c r="O23" s="16"/>
      <c r="P23" s="16"/>
      <c r="Q23" s="16"/>
      <c r="R23" s="16"/>
      <c r="S23" s="14" t="s">
        <v>344</v>
      </c>
      <c r="T23" s="16"/>
      <c r="U23" s="16"/>
      <c r="V23" s="16"/>
      <c r="W23" s="16"/>
      <c r="X23" s="16"/>
      <c r="Y23" s="16"/>
    </row>
    <row r="24" spans="1:25" ht="12.75">
      <c r="A24" s="56"/>
      <c r="B24" s="56"/>
      <c r="C24" s="58"/>
      <c r="D24" s="58"/>
      <c r="E24" s="58"/>
      <c r="F24" s="58"/>
      <c r="G24" s="58"/>
      <c r="H24" s="58"/>
      <c r="M24" s="16"/>
      <c r="N24" s="16"/>
      <c r="O24" s="16"/>
      <c r="P24" s="16"/>
      <c r="Q24" s="16"/>
      <c r="R24" s="16"/>
      <c r="S24" s="2" t="s">
        <v>63</v>
      </c>
      <c r="T24" s="16"/>
      <c r="U24" s="16"/>
      <c r="V24" s="16"/>
      <c r="W24" s="16"/>
      <c r="X24" s="16"/>
      <c r="Y24" s="16"/>
    </row>
    <row r="25" spans="2:19" ht="12.75">
      <c r="B25" s="19" t="s">
        <v>73</v>
      </c>
      <c r="S25" s="2" t="s">
        <v>64</v>
      </c>
    </row>
    <row r="26" ht="12.75">
      <c r="S26" s="16"/>
    </row>
    <row r="27" ht="12.75">
      <c r="S27" s="16"/>
    </row>
    <row r="28" ht="12.75">
      <c r="S28" s="16"/>
    </row>
    <row r="31" spans="2:19" ht="15.75">
      <c r="B31" s="14" t="s">
        <v>74</v>
      </c>
      <c r="S31" s="13" t="s">
        <v>72</v>
      </c>
    </row>
  </sheetData>
  <sheetProtection/>
  <mergeCells count="29">
    <mergeCell ref="A1:D1"/>
    <mergeCell ref="E5:J5"/>
    <mergeCell ref="E6:F6"/>
    <mergeCell ref="G6:H6"/>
    <mergeCell ref="I6:J6"/>
    <mergeCell ref="A5:A7"/>
    <mergeCell ref="A2:D2"/>
    <mergeCell ref="B5:B7"/>
    <mergeCell ref="C5:D6"/>
    <mergeCell ref="R13:S13"/>
    <mergeCell ref="R5:S5"/>
    <mergeCell ref="L5:M6"/>
    <mergeCell ref="G13:H13"/>
    <mergeCell ref="R6:R7"/>
    <mergeCell ref="V5:V7"/>
    <mergeCell ref="U6:U7"/>
    <mergeCell ref="K5:K7"/>
    <mergeCell ref="T6:T7"/>
    <mergeCell ref="T5:U5"/>
    <mergeCell ref="C13:D13"/>
    <mergeCell ref="L13:M17"/>
    <mergeCell ref="B21:V21"/>
    <mergeCell ref="S6:S7"/>
    <mergeCell ref="L18:M18"/>
    <mergeCell ref="B20:V20"/>
    <mergeCell ref="T13:U13"/>
    <mergeCell ref="N13:Q13"/>
    <mergeCell ref="E13:F13"/>
    <mergeCell ref="N5:Q6"/>
  </mergeCells>
  <printOptions horizontalCentered="1"/>
  <pageMargins left="0" right="0" top="0.393700787401575" bottom="0.393700787401575" header="0.511811023622047" footer="0.511811023622047"/>
  <pageSetup horizontalDpi="600" verticalDpi="600" orientation="landscape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9">
      <selection activeCell="P24" sqref="P24"/>
    </sheetView>
  </sheetViews>
  <sheetFormatPr defaultColWidth="8.88671875" defaultRowHeight="18.75"/>
  <cols>
    <col min="1" max="1" width="4.10546875" style="0" customWidth="1"/>
    <col min="2" max="2" width="33.10546875" style="0" customWidth="1"/>
    <col min="3" max="3" width="10.4453125" style="0" customWidth="1"/>
    <col min="4" max="4" width="10.21484375" style="0" customWidth="1"/>
    <col min="5" max="5" width="10.10546875" style="0" customWidth="1"/>
    <col min="6" max="6" width="7.99609375" style="0" customWidth="1"/>
    <col min="7" max="7" width="7.6640625" style="0" customWidth="1"/>
    <col min="8" max="8" width="10.88671875" style="0" customWidth="1"/>
    <col min="9" max="9" width="7.99609375" style="0" customWidth="1"/>
    <col min="10" max="10" width="7.5546875" style="0" customWidth="1"/>
    <col min="11" max="11" width="9.5546875" style="0" customWidth="1"/>
  </cols>
  <sheetData>
    <row r="1" s="23" customFormat="1" ht="15.75">
      <c r="A1" s="40" t="s">
        <v>339</v>
      </c>
    </row>
    <row r="2" spans="1:11" s="26" customFormat="1" ht="33.75" customHeight="1">
      <c r="A2" s="24" t="s">
        <v>0</v>
      </c>
      <c r="B2" s="24" t="s">
        <v>66</v>
      </c>
      <c r="C2" s="196" t="s">
        <v>336</v>
      </c>
      <c r="D2" s="197" t="s">
        <v>337</v>
      </c>
      <c r="E2" s="25" t="s">
        <v>67</v>
      </c>
      <c r="F2" s="553" t="s">
        <v>205</v>
      </c>
      <c r="G2" s="553"/>
      <c r="H2" s="553"/>
      <c r="I2" s="553"/>
      <c r="J2" s="553"/>
      <c r="K2" s="553"/>
    </row>
    <row r="3" spans="1:11" s="23" customFormat="1" ht="18" customHeight="1">
      <c r="A3" s="42">
        <v>1</v>
      </c>
      <c r="B3" s="27" t="s">
        <v>68</v>
      </c>
      <c r="C3" s="32">
        <f>C4+C7+C18</f>
        <v>146500</v>
      </c>
      <c r="D3" s="164">
        <f>D4+D7+D18</f>
        <v>145290</v>
      </c>
      <c r="E3" s="34">
        <f aca="true" t="shared" si="0" ref="E3:E18">D3/C3</f>
        <v>0.991740614334471</v>
      </c>
      <c r="F3" s="553"/>
      <c r="G3" s="553"/>
      <c r="H3" s="553"/>
      <c r="I3" s="553"/>
      <c r="J3" s="553"/>
      <c r="K3" s="553"/>
    </row>
    <row r="4" spans="1:11" s="23" customFormat="1" ht="18" customHeight="1">
      <c r="A4" s="42">
        <v>2</v>
      </c>
      <c r="B4" s="27" t="s">
        <v>69</v>
      </c>
      <c r="C4" s="31">
        <f>C5+C6</f>
        <v>27600</v>
      </c>
      <c r="D4" s="230">
        <f>D5+D6</f>
        <v>27577</v>
      </c>
      <c r="E4" s="236">
        <f>D4/C4</f>
        <v>0.9991666666666666</v>
      </c>
      <c r="F4" s="553"/>
      <c r="G4" s="553"/>
      <c r="H4" s="553"/>
      <c r="I4" s="553"/>
      <c r="J4" s="553"/>
      <c r="K4" s="553"/>
    </row>
    <row r="5" spans="1:11" s="23" customFormat="1" ht="18" customHeight="1">
      <c r="A5" s="42">
        <v>3</v>
      </c>
      <c r="B5" s="28" t="s">
        <v>188</v>
      </c>
      <c r="C5" s="54">
        <v>4000</v>
      </c>
      <c r="D5" s="29">
        <v>4349</v>
      </c>
      <c r="E5" s="34">
        <f t="shared" si="0"/>
        <v>1.08725</v>
      </c>
      <c r="F5" s="554" t="s">
        <v>204</v>
      </c>
      <c r="G5" s="554"/>
      <c r="H5" s="554" t="s">
        <v>346</v>
      </c>
      <c r="I5" s="554"/>
      <c r="J5" s="554"/>
      <c r="K5" s="554"/>
    </row>
    <row r="6" spans="1:11" s="23" customFormat="1" ht="18" customHeight="1">
      <c r="A6" s="42">
        <v>5</v>
      </c>
      <c r="B6" s="28" t="s">
        <v>189</v>
      </c>
      <c r="C6" s="54">
        <v>23600</v>
      </c>
      <c r="D6" s="29">
        <v>23228</v>
      </c>
      <c r="E6" s="34">
        <f t="shared" si="0"/>
        <v>0.9842372881355932</v>
      </c>
      <c r="F6" s="554"/>
      <c r="G6" s="554"/>
      <c r="H6" s="41" t="s">
        <v>194</v>
      </c>
      <c r="I6" s="41" t="s">
        <v>195</v>
      </c>
      <c r="J6" s="41" t="s">
        <v>80</v>
      </c>
      <c r="K6" s="41" t="s">
        <v>81</v>
      </c>
    </row>
    <row r="7" spans="1:11" s="23" customFormat="1" ht="18" customHeight="1">
      <c r="A7" s="42">
        <v>7</v>
      </c>
      <c r="B7" s="27" t="s">
        <v>70</v>
      </c>
      <c r="C7" s="31">
        <f>C8+C9+C14</f>
        <v>117500</v>
      </c>
      <c r="D7" s="230">
        <f>D8+D9+D14</f>
        <v>116449</v>
      </c>
      <c r="E7" s="237">
        <f t="shared" si="0"/>
        <v>0.9910553191489362</v>
      </c>
      <c r="F7" s="205" t="s">
        <v>356</v>
      </c>
      <c r="G7" s="24"/>
      <c r="H7" s="24"/>
      <c r="I7" s="24"/>
      <c r="J7" s="24"/>
      <c r="K7" s="24"/>
    </row>
    <row r="8" spans="1:11" s="23" customFormat="1" ht="18" customHeight="1">
      <c r="A8" s="42">
        <v>8</v>
      </c>
      <c r="B8" s="28" t="s">
        <v>190</v>
      </c>
      <c r="C8" s="233">
        <v>60400</v>
      </c>
      <c r="D8" s="232">
        <v>60368</v>
      </c>
      <c r="E8" s="234">
        <f t="shared" si="0"/>
        <v>0.9994701986754967</v>
      </c>
      <c r="F8" s="551" t="s">
        <v>16</v>
      </c>
      <c r="G8" s="552"/>
      <c r="H8" s="341">
        <f>MG!C15</f>
        <v>2</v>
      </c>
      <c r="I8" s="341">
        <f>TH!C8</f>
        <v>8</v>
      </c>
      <c r="J8" s="341">
        <f>THCS!C8</f>
        <v>3</v>
      </c>
      <c r="K8" s="341"/>
    </row>
    <row r="9" spans="1:11" s="23" customFormat="1" ht="18" customHeight="1">
      <c r="A9" s="42">
        <v>9</v>
      </c>
      <c r="B9" s="28" t="s">
        <v>191</v>
      </c>
      <c r="C9" s="233">
        <v>39000</v>
      </c>
      <c r="D9" s="232">
        <v>38646</v>
      </c>
      <c r="E9" s="234">
        <f t="shared" si="0"/>
        <v>0.9909230769230769</v>
      </c>
      <c r="F9" s="551" t="s">
        <v>15</v>
      </c>
      <c r="G9" s="552"/>
      <c r="H9" s="341">
        <f>MG!C14</f>
        <v>6</v>
      </c>
      <c r="I9" s="341">
        <f>TH!C11</f>
        <v>13</v>
      </c>
      <c r="J9" s="341">
        <f>THCS!C12</f>
        <v>4</v>
      </c>
      <c r="K9" s="341">
        <v>1</v>
      </c>
    </row>
    <row r="10" spans="1:11" s="23" customFormat="1" ht="18" customHeight="1">
      <c r="A10" s="42">
        <v>10</v>
      </c>
      <c r="B10" s="30" t="s">
        <v>203</v>
      </c>
      <c r="C10" s="54">
        <v>300</v>
      </c>
      <c r="D10" s="29">
        <f>THCS!E13</f>
        <v>287</v>
      </c>
      <c r="E10" s="34">
        <f t="shared" si="0"/>
        <v>0.9566666666666667</v>
      </c>
      <c r="F10" s="551" t="s">
        <v>12</v>
      </c>
      <c r="G10" s="552"/>
      <c r="H10" s="341">
        <f>MG!C11</f>
        <v>2</v>
      </c>
      <c r="I10" s="341">
        <f>TH!C10</f>
        <v>17</v>
      </c>
      <c r="J10" s="341">
        <f>THCS!C10</f>
        <v>7</v>
      </c>
      <c r="K10" s="341">
        <v>2</v>
      </c>
    </row>
    <row r="11" spans="1:11" s="23" customFormat="1" ht="18" customHeight="1">
      <c r="A11" s="42">
        <v>11</v>
      </c>
      <c r="B11" s="28" t="s">
        <v>202</v>
      </c>
      <c r="C11" s="54">
        <v>300</v>
      </c>
      <c r="D11" s="29">
        <f>THCS!E21</f>
        <v>258</v>
      </c>
      <c r="E11" s="34">
        <f t="shared" si="0"/>
        <v>0.86</v>
      </c>
      <c r="F11" s="551" t="s">
        <v>18</v>
      </c>
      <c r="G11" s="552"/>
      <c r="H11" s="341">
        <f>MG!C17</f>
        <v>3</v>
      </c>
      <c r="I11" s="341">
        <f>TH!C9</f>
        <v>11</v>
      </c>
      <c r="J11" s="341">
        <f>THCS!C9</f>
        <v>5</v>
      </c>
      <c r="K11" s="341">
        <v>3</v>
      </c>
    </row>
    <row r="12" spans="1:11" s="23" customFormat="1" ht="18" customHeight="1">
      <c r="A12" s="42">
        <v>12</v>
      </c>
      <c r="B12" s="28" t="s">
        <v>201</v>
      </c>
      <c r="C12" s="54">
        <v>300</v>
      </c>
      <c r="D12" s="29">
        <f>THCS!E18</f>
        <v>275</v>
      </c>
      <c r="E12" s="34">
        <f t="shared" si="0"/>
        <v>0.9166666666666666</v>
      </c>
      <c r="F12" s="551" t="s">
        <v>17</v>
      </c>
      <c r="G12" s="552"/>
      <c r="H12" s="341">
        <f>MG!C16</f>
        <v>3</v>
      </c>
      <c r="I12" s="341">
        <f>TH!C13</f>
        <v>7</v>
      </c>
      <c r="J12" s="341">
        <f>THCS!C17</f>
        <v>2</v>
      </c>
      <c r="K12" s="341"/>
    </row>
    <row r="13" spans="1:11" s="23" customFormat="1" ht="18" customHeight="1">
      <c r="A13" s="42">
        <v>13</v>
      </c>
      <c r="B13" s="28" t="s">
        <v>200</v>
      </c>
      <c r="C13" s="54">
        <v>300</v>
      </c>
      <c r="D13" s="29">
        <f>THCS!E11</f>
        <v>275</v>
      </c>
      <c r="E13" s="34">
        <f t="shared" si="0"/>
        <v>0.9166666666666666</v>
      </c>
      <c r="F13" s="551" t="s">
        <v>13</v>
      </c>
      <c r="G13" s="552"/>
      <c r="H13" s="341">
        <f>MG!C12</f>
        <v>2</v>
      </c>
      <c r="I13" s="341">
        <f>TH!C14</f>
        <v>7</v>
      </c>
      <c r="J13" s="341">
        <f>THCS!C19</f>
        <v>5</v>
      </c>
      <c r="K13" s="341"/>
    </row>
    <row r="14" spans="1:11" s="23" customFormat="1" ht="18" customHeight="1">
      <c r="A14" s="42">
        <v>14</v>
      </c>
      <c r="B14" s="28" t="s">
        <v>192</v>
      </c>
      <c r="C14" s="232">
        <v>18100</v>
      </c>
      <c r="D14" s="232">
        <v>17435</v>
      </c>
      <c r="E14" s="234">
        <f t="shared" si="0"/>
        <v>0.9632596685082873</v>
      </c>
      <c r="F14" s="551" t="s">
        <v>199</v>
      </c>
      <c r="G14" s="552"/>
      <c r="H14" s="342">
        <f>MG!C13</f>
        <v>5</v>
      </c>
      <c r="I14" s="342">
        <f>TH!C12</f>
        <v>14</v>
      </c>
      <c r="J14" s="342">
        <f>THCS!C14</f>
        <v>4</v>
      </c>
      <c r="K14" s="341">
        <v>2</v>
      </c>
    </row>
    <row r="15" spans="1:11" s="23" customFormat="1" ht="18" customHeight="1">
      <c r="A15" s="42">
        <v>15</v>
      </c>
      <c r="B15" s="30" t="s">
        <v>71</v>
      </c>
      <c r="C15" s="54">
        <v>300</v>
      </c>
      <c r="D15" s="48">
        <f>THPT!D12</f>
        <v>294</v>
      </c>
      <c r="E15" s="34">
        <f t="shared" si="0"/>
        <v>0.98</v>
      </c>
      <c r="F15" s="564" t="s">
        <v>114</v>
      </c>
      <c r="G15" s="565"/>
      <c r="H15" s="343">
        <f>SUM(H8:H14)</f>
        <v>23</v>
      </c>
      <c r="I15" s="343">
        <f>SUM(I8:I14)</f>
        <v>77</v>
      </c>
      <c r="J15" s="343">
        <f>SUM(J8:J14)</f>
        <v>30</v>
      </c>
      <c r="K15" s="343">
        <f>SUM(K8:K14)</f>
        <v>8</v>
      </c>
    </row>
    <row r="16" spans="1:11" s="23" customFormat="1" ht="18" customHeight="1">
      <c r="A16" s="42">
        <v>16</v>
      </c>
      <c r="B16" s="84" t="s">
        <v>152</v>
      </c>
      <c r="C16" s="54">
        <v>200</v>
      </c>
      <c r="D16" s="48">
        <f>THPT!D26</f>
        <v>199</v>
      </c>
      <c r="E16" s="34">
        <f t="shared" si="0"/>
        <v>0.995</v>
      </c>
      <c r="F16" s="314"/>
      <c r="G16" s="159"/>
      <c r="H16" s="315"/>
      <c r="I16" s="41" t="s">
        <v>197</v>
      </c>
      <c r="J16" s="41" t="s">
        <v>195</v>
      </c>
      <c r="K16" s="41" t="s">
        <v>198</v>
      </c>
    </row>
    <row r="17" spans="1:11" s="23" customFormat="1" ht="18" customHeight="1">
      <c r="A17" s="42">
        <v>17</v>
      </c>
      <c r="B17" s="84" t="s">
        <v>247</v>
      </c>
      <c r="C17" s="54">
        <v>500</v>
      </c>
      <c r="D17" s="48">
        <f>THPT!D30</f>
        <v>133</v>
      </c>
      <c r="E17" s="34">
        <f t="shared" si="0"/>
        <v>0.266</v>
      </c>
      <c r="F17" s="158" t="s">
        <v>210</v>
      </c>
      <c r="G17" s="24"/>
      <c r="H17" s="24"/>
      <c r="I17" s="184" t="s">
        <v>211</v>
      </c>
      <c r="J17" s="184" t="s">
        <v>246</v>
      </c>
      <c r="K17" s="316"/>
    </row>
    <row r="18" spans="1:11" s="23" customFormat="1" ht="15.75">
      <c r="A18" s="42">
        <v>18</v>
      </c>
      <c r="B18" s="27" t="s">
        <v>167</v>
      </c>
      <c r="C18" s="231">
        <v>1400</v>
      </c>
      <c r="D18" s="232">
        <v>1264</v>
      </c>
      <c r="E18" s="235">
        <f t="shared" si="0"/>
        <v>0.9028571428571428</v>
      </c>
      <c r="F18" s="447" t="s">
        <v>196</v>
      </c>
      <c r="G18" s="448"/>
      <c r="H18" s="448"/>
      <c r="I18" s="449" t="s">
        <v>262</v>
      </c>
      <c r="J18" s="450" t="s">
        <v>263</v>
      </c>
      <c r="K18" s="317"/>
    </row>
    <row r="19" spans="1:11" s="23" customFormat="1" ht="15.75">
      <c r="A19" s="405" t="s">
        <v>76</v>
      </c>
      <c r="B19" s="36"/>
      <c r="C19" s="36"/>
      <c r="D19" s="37"/>
      <c r="E19" s="37"/>
      <c r="F19" s="37"/>
      <c r="G19" s="38"/>
      <c r="H19" s="38"/>
      <c r="I19" s="38"/>
      <c r="J19" s="38"/>
      <c r="K19" s="39"/>
    </row>
    <row r="20" spans="1:11" s="40" customFormat="1" ht="31.5" customHeight="1">
      <c r="A20" s="556" t="s">
        <v>0</v>
      </c>
      <c r="B20" s="556" t="s">
        <v>83</v>
      </c>
      <c r="C20" s="558" t="s">
        <v>298</v>
      </c>
      <c r="D20" s="559"/>
      <c r="E20" s="560"/>
      <c r="F20" s="561" t="s">
        <v>338</v>
      </c>
      <c r="G20" s="562"/>
      <c r="H20" s="563"/>
      <c r="I20" s="555" t="s">
        <v>82</v>
      </c>
      <c r="J20" s="555"/>
      <c r="K20" s="555"/>
    </row>
    <row r="21" spans="1:11" s="40" customFormat="1" ht="15.75">
      <c r="A21" s="557"/>
      <c r="B21" s="557"/>
      <c r="C21" s="47" t="s">
        <v>84</v>
      </c>
      <c r="D21" s="47" t="s">
        <v>20</v>
      </c>
      <c r="E21" s="47" t="s">
        <v>85</v>
      </c>
      <c r="F21" s="111" t="s">
        <v>84</v>
      </c>
      <c r="G21" s="111" t="s">
        <v>20</v>
      </c>
      <c r="H21" s="112" t="s">
        <v>85</v>
      </c>
      <c r="I21" s="111" t="s">
        <v>84</v>
      </c>
      <c r="J21" s="113" t="s">
        <v>20</v>
      </c>
      <c r="K21" s="114" t="s">
        <v>85</v>
      </c>
    </row>
    <row r="22" spans="1:11" s="40" customFormat="1" ht="15.75">
      <c r="A22" s="156" t="s">
        <v>51</v>
      </c>
      <c r="B22" s="157" t="s">
        <v>257</v>
      </c>
      <c r="C22" s="198">
        <f aca="true" t="shared" si="1" ref="C22:H22">C23+C24+C28</f>
        <v>310</v>
      </c>
      <c r="D22" s="198">
        <f t="shared" si="1"/>
        <v>4787</v>
      </c>
      <c r="E22" s="198">
        <f t="shared" si="1"/>
        <v>145247</v>
      </c>
      <c r="F22" s="186">
        <f t="shared" si="1"/>
        <v>308</v>
      </c>
      <c r="G22" s="186">
        <f t="shared" si="1"/>
        <v>4875</v>
      </c>
      <c r="H22" s="186">
        <f t="shared" si="1"/>
        <v>146856</v>
      </c>
      <c r="I22" s="123">
        <f aca="true" t="shared" si="2" ref="I22:K23">F22-C22</f>
        <v>-2</v>
      </c>
      <c r="J22" s="123">
        <f t="shared" si="2"/>
        <v>88</v>
      </c>
      <c r="K22" s="119">
        <f>H22-E22</f>
        <v>1609</v>
      </c>
    </row>
    <row r="23" spans="1:11" s="23" customFormat="1" ht="15.75">
      <c r="A23" s="46">
        <v>1</v>
      </c>
      <c r="B23" s="45" t="s">
        <v>77</v>
      </c>
      <c r="C23" s="199">
        <v>89</v>
      </c>
      <c r="D23" s="200">
        <v>1118</v>
      </c>
      <c r="E23" s="200">
        <v>27534</v>
      </c>
      <c r="F23" s="115">
        <v>90</v>
      </c>
      <c r="G23" s="116">
        <f>MG!F10+MG!S10</f>
        <v>1116</v>
      </c>
      <c r="H23" s="116">
        <f>MG!G10+MG!T10</f>
        <v>27217</v>
      </c>
      <c r="I23" s="123">
        <f t="shared" si="2"/>
        <v>1</v>
      </c>
      <c r="J23" s="123">
        <f t="shared" si="2"/>
        <v>-2</v>
      </c>
      <c r="K23" s="31">
        <f t="shared" si="2"/>
        <v>-317</v>
      </c>
    </row>
    <row r="24" spans="1:12" s="23" customFormat="1" ht="15.75">
      <c r="A24" s="46">
        <v>2</v>
      </c>
      <c r="B24" s="45" t="s">
        <v>78</v>
      </c>
      <c r="C24" s="200">
        <f>C25+C26+C27</f>
        <v>219</v>
      </c>
      <c r="D24" s="200">
        <f>D25+D26+D27</f>
        <v>3643</v>
      </c>
      <c r="E24" s="200">
        <f>E25+E26+E27</f>
        <v>116449</v>
      </c>
      <c r="F24" s="116">
        <f>SUM(F25:F27)</f>
        <v>216</v>
      </c>
      <c r="G24" s="116">
        <f>SUM(G25:G27)</f>
        <v>3733</v>
      </c>
      <c r="H24" s="116">
        <f>SUM(H25:H27)</f>
        <v>118375</v>
      </c>
      <c r="I24" s="117">
        <f>SUM(I25:I27)</f>
        <v>-3</v>
      </c>
      <c r="J24" s="117">
        <f>SUM(J25:J27)</f>
        <v>90</v>
      </c>
      <c r="K24" s="31">
        <f>H24-E24</f>
        <v>1926</v>
      </c>
      <c r="L24" s="92"/>
    </row>
    <row r="25" spans="1:13" s="23" customFormat="1" ht="15.75">
      <c r="A25" s="27"/>
      <c r="B25" s="43" t="s">
        <v>79</v>
      </c>
      <c r="C25" s="201">
        <v>136</v>
      </c>
      <c r="D25" s="202">
        <v>2150</v>
      </c>
      <c r="E25" s="202">
        <f>D8</f>
        <v>60368</v>
      </c>
      <c r="F25" s="118">
        <v>133</v>
      </c>
      <c r="G25" s="119">
        <f>TH!J7</f>
        <v>2237</v>
      </c>
      <c r="H25" s="119">
        <f>TH!I7</f>
        <v>62756</v>
      </c>
      <c r="I25" s="120">
        <f aca="true" t="shared" si="3" ref="I25:J28">F25-C25</f>
        <v>-3</v>
      </c>
      <c r="J25" s="121">
        <f t="shared" si="3"/>
        <v>87</v>
      </c>
      <c r="K25" s="119">
        <f aca="true" t="shared" si="4" ref="K25:K30">H25-E25</f>
        <v>2388</v>
      </c>
      <c r="L25" s="92"/>
      <c r="M25" s="92"/>
    </row>
    <row r="26" spans="1:12" s="23" customFormat="1" ht="15.75">
      <c r="A26" s="27"/>
      <c r="B26" s="43" t="s">
        <v>80</v>
      </c>
      <c r="C26" s="201">
        <v>62</v>
      </c>
      <c r="D26" s="202">
        <v>1043</v>
      </c>
      <c r="E26" s="202">
        <f>D9</f>
        <v>38646</v>
      </c>
      <c r="F26" s="118">
        <v>61</v>
      </c>
      <c r="G26" s="119">
        <f>THCS!F6</f>
        <v>1037</v>
      </c>
      <c r="H26" s="119">
        <f>THCS!E6</f>
        <v>37974</v>
      </c>
      <c r="I26" s="120">
        <f t="shared" si="3"/>
        <v>-1</v>
      </c>
      <c r="J26" s="121">
        <f t="shared" si="3"/>
        <v>-6</v>
      </c>
      <c r="K26" s="119">
        <f t="shared" si="4"/>
        <v>-672</v>
      </c>
      <c r="L26" s="92"/>
    </row>
    <row r="27" spans="1:11" s="23" customFormat="1" ht="15.75">
      <c r="A27" s="27"/>
      <c r="B27" s="43" t="s">
        <v>81</v>
      </c>
      <c r="C27" s="201">
        <v>21</v>
      </c>
      <c r="D27" s="202">
        <v>450</v>
      </c>
      <c r="E27" s="202">
        <f>D14</f>
        <v>17435</v>
      </c>
      <c r="F27" s="118">
        <v>22</v>
      </c>
      <c r="G27" s="119">
        <f>THPT!E7</f>
        <v>459</v>
      </c>
      <c r="H27" s="119">
        <f>THPT!D7</f>
        <v>17645</v>
      </c>
      <c r="I27" s="120">
        <f t="shared" si="3"/>
        <v>1</v>
      </c>
      <c r="J27" s="121">
        <f t="shared" si="3"/>
        <v>9</v>
      </c>
      <c r="K27" s="119">
        <f t="shared" si="4"/>
        <v>210</v>
      </c>
    </row>
    <row r="28" spans="1:11" s="23" customFormat="1" ht="15.75">
      <c r="A28" s="46" t="s">
        <v>52</v>
      </c>
      <c r="B28" s="49" t="s">
        <v>357</v>
      </c>
      <c r="C28" s="203">
        <v>2</v>
      </c>
      <c r="D28" s="203">
        <v>26</v>
      </c>
      <c r="E28" s="203">
        <v>1264</v>
      </c>
      <c r="F28" s="33">
        <v>2</v>
      </c>
      <c r="G28" s="33">
        <f>SUM(G29:G30)</f>
        <v>26</v>
      </c>
      <c r="H28" s="33">
        <f>SUM(H29:H30)</f>
        <v>1264</v>
      </c>
      <c r="I28" s="122">
        <f t="shared" si="3"/>
        <v>0</v>
      </c>
      <c r="J28" s="123">
        <f t="shared" si="3"/>
        <v>0</v>
      </c>
      <c r="K28" s="31">
        <f t="shared" si="4"/>
        <v>0</v>
      </c>
    </row>
    <row r="29" spans="1:11" s="23" customFormat="1" ht="15.75">
      <c r="A29" s="46"/>
      <c r="B29" s="91" t="s">
        <v>165</v>
      </c>
      <c r="C29" s="203"/>
      <c r="D29" s="204"/>
      <c r="E29" s="202"/>
      <c r="F29" s="33"/>
      <c r="G29" s="31"/>
      <c r="H29" s="119"/>
      <c r="I29" s="122">
        <f>F29-C29</f>
        <v>0</v>
      </c>
      <c r="J29" s="123">
        <f>G29-D29</f>
        <v>0</v>
      </c>
      <c r="K29" s="119">
        <f t="shared" si="4"/>
        <v>0</v>
      </c>
    </row>
    <row r="30" spans="1:11" s="23" customFormat="1" ht="15.75">
      <c r="A30" s="46"/>
      <c r="B30" s="91" t="s">
        <v>81</v>
      </c>
      <c r="C30" s="201">
        <f>1</f>
        <v>1</v>
      </c>
      <c r="D30" s="202">
        <v>24</v>
      </c>
      <c r="E30" s="202">
        <v>946</v>
      </c>
      <c r="F30" s="118">
        <v>1</v>
      </c>
      <c r="G30" s="119">
        <f>'THPT GDTX'!D8</f>
        <v>26</v>
      </c>
      <c r="H30" s="119">
        <f>'THPT GDTX'!C8</f>
        <v>1264</v>
      </c>
      <c r="I30" s="120">
        <f>F30-C30</f>
        <v>0</v>
      </c>
      <c r="J30" s="121">
        <f>G30-D30</f>
        <v>2</v>
      </c>
      <c r="K30" s="119">
        <f t="shared" si="4"/>
        <v>318</v>
      </c>
    </row>
    <row r="31" spans="1:11" s="23" customFormat="1" ht="15.75">
      <c r="A31" s="405" t="s">
        <v>345</v>
      </c>
      <c r="B31" s="36"/>
      <c r="C31" s="36"/>
      <c r="D31" s="37"/>
      <c r="E31" s="37"/>
      <c r="F31" s="37"/>
      <c r="G31" s="38"/>
      <c r="H31" s="38"/>
      <c r="I31" s="38"/>
      <c r="J31" s="38"/>
      <c r="K31" s="39"/>
    </row>
    <row r="32" spans="1:11" s="18" customFormat="1" ht="36" customHeight="1">
      <c r="A32" s="41" t="s">
        <v>0</v>
      </c>
      <c r="B32" s="41" t="s">
        <v>83</v>
      </c>
      <c r="C32" s="41" t="s">
        <v>85</v>
      </c>
      <c r="D32" s="41" t="s">
        <v>87</v>
      </c>
      <c r="E32" s="41" t="s">
        <v>20</v>
      </c>
      <c r="F32" s="41" t="s">
        <v>92</v>
      </c>
      <c r="G32" s="41" t="s">
        <v>91</v>
      </c>
      <c r="H32" s="44" t="s">
        <v>88</v>
      </c>
      <c r="I32" s="44" t="s">
        <v>89</v>
      </c>
      <c r="J32" s="50" t="s">
        <v>93</v>
      </c>
      <c r="K32" s="44" t="s">
        <v>301</v>
      </c>
    </row>
    <row r="33" spans="1:12" s="23" customFormat="1" ht="15.75">
      <c r="A33" s="46">
        <v>1</v>
      </c>
      <c r="B33" s="45" t="s">
        <v>77</v>
      </c>
      <c r="C33" s="349">
        <f>SUM(C34:C35)</f>
        <v>27217</v>
      </c>
      <c r="D33" s="350">
        <f>SUM(D34:D35)</f>
        <v>1792</v>
      </c>
      <c r="E33" s="350">
        <f>SUM(E34:E35)</f>
        <v>1116</v>
      </c>
      <c r="F33" s="124">
        <f>SUM(F34:F35)</f>
        <v>1792</v>
      </c>
      <c r="G33" s="124">
        <f>SUM(G34:G35)</f>
        <v>1030</v>
      </c>
      <c r="H33" s="125">
        <f aca="true" t="shared" si="5" ref="H33:H40">D33/E33</f>
        <v>1.6057347670250897</v>
      </c>
      <c r="I33" s="133">
        <f aca="true" t="shared" si="6" ref="I33:I40">C33/E33</f>
        <v>24.38799283154122</v>
      </c>
      <c r="J33" s="127">
        <f>F33/D33</f>
        <v>1</v>
      </c>
      <c r="K33" s="126">
        <f>G33/E33</f>
        <v>0.9229390681003584</v>
      </c>
      <c r="L33" s="92"/>
    </row>
    <row r="34" spans="1:11" s="23" customFormat="1" ht="15.75">
      <c r="A34" s="46"/>
      <c r="B34" s="43" t="s">
        <v>90</v>
      </c>
      <c r="C34" s="351">
        <f>MG!G10</f>
        <v>3986</v>
      </c>
      <c r="D34" s="352">
        <f>MG!H10</f>
        <v>324</v>
      </c>
      <c r="E34" s="353">
        <f>MG!F10</f>
        <v>239</v>
      </c>
      <c r="F34" s="118">
        <f>D34</f>
        <v>324</v>
      </c>
      <c r="G34" s="128">
        <f>MG!I10</f>
        <v>228</v>
      </c>
      <c r="H34" s="129">
        <f t="shared" si="5"/>
        <v>1.3556485355648535</v>
      </c>
      <c r="I34" s="130">
        <f t="shared" si="6"/>
        <v>16.677824267782427</v>
      </c>
      <c r="J34" s="131">
        <f>F34/D34</f>
        <v>1</v>
      </c>
      <c r="K34" s="132">
        <f>G34/E34</f>
        <v>0.9539748953974896</v>
      </c>
    </row>
    <row r="35" spans="1:11" s="23" customFormat="1" ht="15.75">
      <c r="A35" s="46"/>
      <c r="B35" s="43" t="s">
        <v>2</v>
      </c>
      <c r="C35" s="351">
        <f>MG!T10</f>
        <v>23231</v>
      </c>
      <c r="D35" s="352">
        <f>MG!U10</f>
        <v>1468</v>
      </c>
      <c r="E35" s="353">
        <f>MG!S10</f>
        <v>877</v>
      </c>
      <c r="F35" s="118">
        <f>D35</f>
        <v>1468</v>
      </c>
      <c r="G35" s="128">
        <f>MG!V10</f>
        <v>802</v>
      </c>
      <c r="H35" s="129">
        <f t="shared" si="5"/>
        <v>1.6738882554161916</v>
      </c>
      <c r="I35" s="130">
        <f t="shared" si="6"/>
        <v>26.48916761687571</v>
      </c>
      <c r="J35" s="131">
        <f aca="true" t="shared" si="7" ref="J35:J40">F35/D35</f>
        <v>1</v>
      </c>
      <c r="K35" s="132">
        <f aca="true" t="shared" si="8" ref="K35:K40">G35/E35</f>
        <v>0.9144811858608894</v>
      </c>
    </row>
    <row r="36" spans="1:11" s="23" customFormat="1" ht="15.75">
      <c r="A36" s="46">
        <v>2</v>
      </c>
      <c r="B36" s="45" t="s">
        <v>78</v>
      </c>
      <c r="C36" s="349">
        <f>SUM(C37:C39)</f>
        <v>118375</v>
      </c>
      <c r="D36" s="350">
        <f>SUM(D37:D39)</f>
        <v>6201</v>
      </c>
      <c r="E36" s="350">
        <f>SUM(E37:E39)</f>
        <v>3733</v>
      </c>
      <c r="F36" s="124">
        <f>SUM(F37:F39)</f>
        <v>4204</v>
      </c>
      <c r="G36" s="124">
        <f>SUM(G37:G39)</f>
        <v>3243</v>
      </c>
      <c r="H36" s="125">
        <f t="shared" si="5"/>
        <v>1.661130458076614</v>
      </c>
      <c r="I36" s="133">
        <f t="shared" si="6"/>
        <v>31.71042057326547</v>
      </c>
      <c r="J36" s="127">
        <f t="shared" si="7"/>
        <v>0.6779551685212063</v>
      </c>
      <c r="K36" s="126">
        <f t="shared" si="8"/>
        <v>0.8687382802035896</v>
      </c>
    </row>
    <row r="37" spans="1:11" s="23" customFormat="1" ht="15.75">
      <c r="A37" s="27"/>
      <c r="B37" s="43" t="s">
        <v>79</v>
      </c>
      <c r="C37" s="351">
        <f>TH!I7</f>
        <v>62756</v>
      </c>
      <c r="D37" s="352">
        <f>TH!AF7</f>
        <v>3224</v>
      </c>
      <c r="E37" s="352">
        <f>TH!J7</f>
        <v>2237</v>
      </c>
      <c r="F37" s="134">
        <f>TH!AG7</f>
        <v>2390</v>
      </c>
      <c r="G37" s="128">
        <f>TH!AB7</f>
        <v>2039</v>
      </c>
      <c r="H37" s="129">
        <f t="shared" si="5"/>
        <v>1.4412159141707643</v>
      </c>
      <c r="I37" s="130">
        <f t="shared" si="6"/>
        <v>28.053643272239608</v>
      </c>
      <c r="J37" s="131">
        <f t="shared" si="7"/>
        <v>0.7413151364764268</v>
      </c>
      <c r="K37" s="132">
        <f t="shared" si="8"/>
        <v>0.9114886008046491</v>
      </c>
    </row>
    <row r="38" spans="1:11" s="23" customFormat="1" ht="15.75">
      <c r="A38" s="27"/>
      <c r="B38" s="43" t="s">
        <v>80</v>
      </c>
      <c r="C38" s="351">
        <f>THCS!E6</f>
        <v>37974</v>
      </c>
      <c r="D38" s="352">
        <f>THCS!W6</f>
        <v>1983</v>
      </c>
      <c r="E38" s="352">
        <f>THCS!F6</f>
        <v>1037</v>
      </c>
      <c r="F38" s="135">
        <f>THCS!X6</f>
        <v>1243</v>
      </c>
      <c r="G38" s="128">
        <f>THCS!S6</f>
        <v>854</v>
      </c>
      <c r="H38" s="129">
        <f>D38/E38</f>
        <v>1.9122468659594984</v>
      </c>
      <c r="I38" s="130">
        <f t="shared" si="6"/>
        <v>36.619093539054965</v>
      </c>
      <c r="J38" s="131">
        <f t="shared" si="7"/>
        <v>0.626828038325769</v>
      </c>
      <c r="K38" s="132">
        <f t="shared" si="8"/>
        <v>0.8235294117647058</v>
      </c>
    </row>
    <row r="39" spans="1:11" s="23" customFormat="1" ht="15.75">
      <c r="A39" s="27"/>
      <c r="B39" s="43" t="s">
        <v>81</v>
      </c>
      <c r="C39" s="351">
        <f>THPT!D7</f>
        <v>17645</v>
      </c>
      <c r="D39" s="352">
        <f>THPT!X7</f>
        <v>994</v>
      </c>
      <c r="E39" s="352">
        <f>THPT!E7</f>
        <v>459</v>
      </c>
      <c r="F39" s="135">
        <f>THPT!Y7</f>
        <v>571</v>
      </c>
      <c r="G39" s="128">
        <f>THPT!T7</f>
        <v>350</v>
      </c>
      <c r="H39" s="129">
        <f t="shared" si="5"/>
        <v>2.1655773420479303</v>
      </c>
      <c r="I39" s="130">
        <f t="shared" si="6"/>
        <v>38.44226579520697</v>
      </c>
      <c r="J39" s="131">
        <f t="shared" si="7"/>
        <v>0.5744466800804829</v>
      </c>
      <c r="K39" s="132">
        <f t="shared" si="8"/>
        <v>0.7625272331154684</v>
      </c>
    </row>
    <row r="40" spans="1:11" s="23" customFormat="1" ht="15.75">
      <c r="A40" s="46">
        <v>3</v>
      </c>
      <c r="B40" s="49" t="s">
        <v>166</v>
      </c>
      <c r="C40" s="349">
        <f>'THPT GDTX'!C8</f>
        <v>1264</v>
      </c>
      <c r="D40" s="350">
        <f>'THPT GDTX'!R8</f>
        <v>34</v>
      </c>
      <c r="E40" s="350">
        <f>'THPT GDTX'!D8</f>
        <v>26</v>
      </c>
      <c r="F40" s="33">
        <v>28</v>
      </c>
      <c r="G40" s="124">
        <f>'THPT GDTX'!N8</f>
        <v>32</v>
      </c>
      <c r="H40" s="136">
        <f t="shared" si="5"/>
        <v>1.3076923076923077</v>
      </c>
      <c r="I40" s="133">
        <f t="shared" si="6"/>
        <v>48.61538461538461</v>
      </c>
      <c r="J40" s="127">
        <f t="shared" si="7"/>
        <v>0.8235294117647058</v>
      </c>
      <c r="K40" s="126">
        <f t="shared" si="8"/>
        <v>1.2307692307692308</v>
      </c>
    </row>
    <row r="41" spans="3:5" ht="18.75">
      <c r="C41" s="354"/>
      <c r="D41" s="355"/>
      <c r="E41" s="354"/>
    </row>
  </sheetData>
  <sheetProtection/>
  <mergeCells count="16">
    <mergeCell ref="I20:K20"/>
    <mergeCell ref="F13:G13"/>
    <mergeCell ref="A20:A21"/>
    <mergeCell ref="C20:E20"/>
    <mergeCell ref="F20:H20"/>
    <mergeCell ref="B20:B21"/>
    <mergeCell ref="F14:G14"/>
    <mergeCell ref="F15:G15"/>
    <mergeCell ref="F9:G9"/>
    <mergeCell ref="F11:G11"/>
    <mergeCell ref="F12:G12"/>
    <mergeCell ref="F10:G10"/>
    <mergeCell ref="F2:K4"/>
    <mergeCell ref="F8:G8"/>
    <mergeCell ref="F5:G6"/>
    <mergeCell ref="H5:K5"/>
  </mergeCells>
  <printOptions horizontalCentered="1"/>
  <pageMargins left="0.236220472440945" right="0.236220472440945" top="0" bottom="0" header="0.511811023622047" footer="0.511811023622047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34"/>
  <sheetViews>
    <sheetView zoomScalePageLayoutView="0" workbookViewId="0" topLeftCell="B4">
      <selection activeCell="C20" sqref="C20:D20"/>
    </sheetView>
  </sheetViews>
  <sheetFormatPr defaultColWidth="8.88671875" defaultRowHeight="18.75"/>
  <cols>
    <col min="1" max="1" width="2.88671875" style="0" customWidth="1"/>
    <col min="2" max="2" width="19.3359375" style="0" bestFit="1" customWidth="1"/>
    <col min="3" max="3" width="6.88671875" style="0" bestFit="1" customWidth="1"/>
    <col min="4" max="4" width="9.6640625" style="0" bestFit="1" customWidth="1"/>
    <col min="5" max="5" width="3.99609375" style="0" bestFit="1" customWidth="1"/>
    <col min="6" max="6" width="9.6640625" style="0" bestFit="1" customWidth="1"/>
    <col min="7" max="8" width="9.4453125" style="0" bestFit="1" customWidth="1"/>
    <col min="9" max="9" width="10.77734375" style="0" bestFit="1" customWidth="1"/>
    <col min="12" max="12" width="11.10546875" style="0" customWidth="1"/>
    <col min="13" max="13" width="7.5546875" style="0" customWidth="1"/>
    <col min="14" max="14" width="7.21484375" style="0" customWidth="1"/>
    <col min="15" max="15" width="6.21484375" style="0" customWidth="1"/>
    <col min="16" max="16" width="6.6640625" style="0" customWidth="1"/>
    <col min="17" max="17" width="5.6640625" style="0" customWidth="1"/>
    <col min="18" max="18" width="6.99609375" style="0" customWidth="1"/>
    <col min="19" max="19" width="6.3359375" style="0" bestFit="1" customWidth="1"/>
  </cols>
  <sheetData>
    <row r="1" spans="13:19" ht="18.75">
      <c r="M1" s="570" t="s">
        <v>290</v>
      </c>
      <c r="N1" s="570"/>
      <c r="O1" s="570" t="s">
        <v>291</v>
      </c>
      <c r="P1" s="570"/>
      <c r="Q1" s="567" t="s">
        <v>278</v>
      </c>
      <c r="R1" s="568"/>
      <c r="S1" s="568"/>
    </row>
    <row r="2" spans="13:19" ht="18.75">
      <c r="M2" s="93" t="s">
        <v>80</v>
      </c>
      <c r="N2" s="93" t="s">
        <v>81</v>
      </c>
      <c r="O2" s="93" t="s">
        <v>195</v>
      </c>
      <c r="P2" s="93" t="s">
        <v>80</v>
      </c>
      <c r="Q2" s="287" t="s">
        <v>195</v>
      </c>
      <c r="R2" s="287" t="s">
        <v>80</v>
      </c>
      <c r="S2" s="287" t="s">
        <v>81</v>
      </c>
    </row>
    <row r="3" spans="2:19" ht="18.75">
      <c r="B3" s="566" t="s">
        <v>169</v>
      </c>
      <c r="C3" s="566" t="s">
        <v>276</v>
      </c>
      <c r="D3" s="566" t="s">
        <v>277</v>
      </c>
      <c r="E3" s="566" t="s">
        <v>194</v>
      </c>
      <c r="F3" s="566" t="s">
        <v>79</v>
      </c>
      <c r="G3" s="569" t="s">
        <v>80</v>
      </c>
      <c r="H3" s="569" t="s">
        <v>81</v>
      </c>
      <c r="I3" s="269" t="s">
        <v>279</v>
      </c>
      <c r="M3" s="93"/>
      <c r="N3" s="93"/>
      <c r="O3" s="93"/>
      <c r="P3" s="93"/>
      <c r="Q3" s="93"/>
      <c r="R3" s="93"/>
      <c r="S3" s="93"/>
    </row>
    <row r="4" spans="2:19" ht="18.75">
      <c r="B4" s="566"/>
      <c r="C4" s="566"/>
      <c r="D4" s="566"/>
      <c r="E4" s="566"/>
      <c r="F4" s="566"/>
      <c r="G4" s="569"/>
      <c r="H4" s="569"/>
      <c r="I4" s="269" t="s">
        <v>280</v>
      </c>
      <c r="M4" s="93"/>
      <c r="N4" s="93"/>
      <c r="O4" s="93"/>
      <c r="P4" s="93"/>
      <c r="Q4" s="93"/>
      <c r="R4" s="93"/>
      <c r="S4" s="93"/>
    </row>
    <row r="5" spans="2:19" ht="18.75">
      <c r="B5" s="270" t="s">
        <v>281</v>
      </c>
      <c r="C5" s="272" t="s">
        <v>282</v>
      </c>
      <c r="D5" s="271">
        <f>MG!I28+MG!J28</f>
        <v>62</v>
      </c>
      <c r="E5" s="271">
        <f>MG!G28+MG!H28</f>
        <v>28</v>
      </c>
      <c r="F5" s="271">
        <v>133</v>
      </c>
      <c r="G5" s="273">
        <v>61</v>
      </c>
      <c r="H5" s="274">
        <v>22</v>
      </c>
      <c r="I5" s="275">
        <f>SUM(C5:H5)</f>
        <v>306</v>
      </c>
      <c r="M5" s="93"/>
      <c r="N5" s="93"/>
      <c r="O5" s="93"/>
      <c r="P5" s="93"/>
      <c r="Q5" s="93"/>
      <c r="R5" s="93"/>
      <c r="S5" s="93"/>
    </row>
    <row r="6" spans="2:19" ht="18.75">
      <c r="B6" s="276" t="s">
        <v>19</v>
      </c>
      <c r="C6" s="272" t="s">
        <v>282</v>
      </c>
      <c r="D6" s="271">
        <f>MG!J28</f>
        <v>9</v>
      </c>
      <c r="E6" s="271">
        <f>MG!H28</f>
        <v>17</v>
      </c>
      <c r="F6" s="271"/>
      <c r="G6" s="273" t="s">
        <v>282</v>
      </c>
      <c r="H6" s="273">
        <v>2</v>
      </c>
      <c r="I6" s="275">
        <f aca="true" t="shared" si="0" ref="I6:I15">SUM(C6:H6)</f>
        <v>28</v>
      </c>
      <c r="M6" s="191">
        <f>M7+N7</f>
        <v>76</v>
      </c>
      <c r="N6" s="93"/>
      <c r="O6" s="191">
        <f>O7+P7</f>
        <v>270.83192607186413</v>
      </c>
      <c r="P6" s="93"/>
      <c r="Q6" s="93"/>
      <c r="R6" s="93"/>
      <c r="S6" s="93"/>
    </row>
    <row r="7" spans="2:19" ht="18.75">
      <c r="B7" s="270" t="s">
        <v>283</v>
      </c>
      <c r="C7" s="271">
        <f>MG!F10</f>
        <v>239</v>
      </c>
      <c r="D7" s="271">
        <f>MG!S10</f>
        <v>877</v>
      </c>
      <c r="E7" s="272"/>
      <c r="F7" s="271">
        <f>TH!J7</f>
        <v>2237</v>
      </c>
      <c r="G7" s="274">
        <f>THCS!F6</f>
        <v>1037</v>
      </c>
      <c r="H7" s="274">
        <f>THPT!E7</f>
        <v>459</v>
      </c>
      <c r="I7" s="324">
        <f>SUM(C7:H7)</f>
        <v>4849</v>
      </c>
      <c r="J7" s="325">
        <f>F7+G7+H7</f>
        <v>3733</v>
      </c>
      <c r="K7" t="s">
        <v>20</v>
      </c>
      <c r="M7" s="191">
        <f>THCS!F22-THCS!F15-THCS!F16</f>
        <v>39</v>
      </c>
      <c r="N7" s="93">
        <f>THPT!E10+THPT!E17+THPT!E26+THPT!E27</f>
        <v>37</v>
      </c>
      <c r="O7" s="93">
        <f>TH!J17</f>
        <v>145.83192607186413</v>
      </c>
      <c r="P7" s="191">
        <f>THCS!F37</f>
        <v>125</v>
      </c>
      <c r="Q7" s="93"/>
      <c r="R7" s="93"/>
      <c r="S7" s="93"/>
    </row>
    <row r="8" spans="2:19" ht="18.75">
      <c r="B8" s="276" t="s">
        <v>19</v>
      </c>
      <c r="C8" s="277">
        <f>MG!N10</f>
        <v>221</v>
      </c>
      <c r="D8" s="277">
        <f>MG!AA10</f>
        <v>313</v>
      </c>
      <c r="E8" s="278"/>
      <c r="F8" s="277">
        <f>TH!J15+TH!J16</f>
        <v>27</v>
      </c>
      <c r="G8" s="356">
        <f>THCS!F15+THCS!F16</f>
        <v>11</v>
      </c>
      <c r="H8" s="279">
        <f>THPT!E29</f>
        <v>11</v>
      </c>
      <c r="I8" s="324">
        <f t="shared" si="0"/>
        <v>583</v>
      </c>
      <c r="J8" s="325">
        <f>F8+G8+H8</f>
        <v>49</v>
      </c>
      <c r="M8" s="191">
        <f>N9+M9</f>
        <v>2801</v>
      </c>
      <c r="N8" s="93"/>
      <c r="O8" s="191">
        <f>P9+O9</f>
        <v>8186</v>
      </c>
      <c r="P8" s="93"/>
      <c r="Q8" s="93"/>
      <c r="R8" s="93"/>
      <c r="S8" s="93"/>
    </row>
    <row r="9" spans="2:19" ht="18.75">
      <c r="B9" s="270" t="s">
        <v>284</v>
      </c>
      <c r="C9" s="321">
        <f>MG!G10</f>
        <v>3986</v>
      </c>
      <c r="D9" s="321">
        <f>MG!T10</f>
        <v>23231</v>
      </c>
      <c r="E9" s="322"/>
      <c r="F9" s="321">
        <f>TH!I7</f>
        <v>62756</v>
      </c>
      <c r="G9" s="323">
        <f>THCS!E6</f>
        <v>37974</v>
      </c>
      <c r="H9" s="323">
        <f>THPT!D7</f>
        <v>17645</v>
      </c>
      <c r="I9" s="324">
        <f t="shared" si="0"/>
        <v>145592</v>
      </c>
      <c r="J9" s="325">
        <f>F9+G9+H9</f>
        <v>118375</v>
      </c>
      <c r="K9" t="s">
        <v>85</v>
      </c>
      <c r="M9" s="191">
        <f>THCS!E22-THCS!E15-THCS!E16</f>
        <v>1502</v>
      </c>
      <c r="N9" s="93">
        <f>THPT!D10+THPT!D17+THPT!D26+THPT!D27</f>
        <v>1299</v>
      </c>
      <c r="O9" s="93">
        <f>TH!I17</f>
        <v>3735</v>
      </c>
      <c r="P9" s="191">
        <f>THCS!E37</f>
        <v>4451</v>
      </c>
      <c r="Q9" s="93"/>
      <c r="R9" s="93"/>
      <c r="S9" s="93"/>
    </row>
    <row r="10" spans="2:19" ht="18.75">
      <c r="B10" s="276" t="s">
        <v>19</v>
      </c>
      <c r="C10" s="277">
        <f>MG!O10</f>
        <v>3622</v>
      </c>
      <c r="D10" s="277">
        <f>MG!AC10</f>
        <v>7921</v>
      </c>
      <c r="E10" s="278"/>
      <c r="F10" s="277">
        <f>TH!I15+TH!I16</f>
        <v>589</v>
      </c>
      <c r="G10" s="279">
        <f>THCS!E15+THCS!E16</f>
        <v>257</v>
      </c>
      <c r="H10" s="279">
        <f>THPT!D29</f>
        <v>239</v>
      </c>
      <c r="I10" s="324">
        <f t="shared" si="0"/>
        <v>12628</v>
      </c>
      <c r="J10" s="325">
        <f>F10+G10+H10</f>
        <v>1085</v>
      </c>
      <c r="M10" s="93"/>
      <c r="N10" s="93"/>
      <c r="O10" s="93"/>
      <c r="P10" s="93"/>
      <c r="Q10" s="93"/>
      <c r="R10" s="93"/>
      <c r="S10" s="93"/>
    </row>
    <row r="11" spans="2:19" ht="18.75">
      <c r="B11" s="270" t="s">
        <v>285</v>
      </c>
      <c r="C11" s="271">
        <f>MG!H10</f>
        <v>324</v>
      </c>
      <c r="D11" s="271">
        <f>MG!U10</f>
        <v>1468</v>
      </c>
      <c r="E11" s="272"/>
      <c r="F11" s="271">
        <f>TH!AF7</f>
        <v>3224</v>
      </c>
      <c r="G11" s="274">
        <f>THCS!W6</f>
        <v>1983</v>
      </c>
      <c r="H11" s="274">
        <f>THPT!X7</f>
        <v>994</v>
      </c>
      <c r="I11" s="324">
        <f t="shared" si="0"/>
        <v>7993</v>
      </c>
      <c r="M11" s="93"/>
      <c r="N11" s="93"/>
      <c r="O11" s="93"/>
      <c r="P11" s="93"/>
      <c r="Q11" s="93"/>
      <c r="R11" s="93"/>
      <c r="S11" s="93"/>
    </row>
    <row r="12" spans="2:19" ht="18.75">
      <c r="B12" s="276" t="s">
        <v>19</v>
      </c>
      <c r="C12" s="277">
        <f>MG!P10</f>
        <v>290</v>
      </c>
      <c r="D12" s="277">
        <f>MG!AD10</f>
        <v>489</v>
      </c>
      <c r="E12" s="278"/>
      <c r="F12" s="277">
        <f>TH!AF15+TH!AF16</f>
        <v>40</v>
      </c>
      <c r="G12" s="356">
        <f>THCS!W15+THCS!W16</f>
        <v>17</v>
      </c>
      <c r="H12" s="279">
        <f>THPT!X29</f>
        <v>16</v>
      </c>
      <c r="I12" s="324">
        <f t="shared" si="0"/>
        <v>852</v>
      </c>
      <c r="M12" s="93"/>
      <c r="N12" s="93"/>
      <c r="O12" s="93"/>
      <c r="P12" s="93"/>
      <c r="Q12" s="93"/>
      <c r="R12" s="93"/>
      <c r="S12" s="93"/>
    </row>
    <row r="13" spans="2:19" ht="18.75">
      <c r="B13" s="270" t="s">
        <v>286</v>
      </c>
      <c r="C13" s="271">
        <f>MG!I10</f>
        <v>228</v>
      </c>
      <c r="D13" s="271">
        <f>MG!V10</f>
        <v>802</v>
      </c>
      <c r="E13" s="272"/>
      <c r="F13" s="271">
        <f>TH!AB7</f>
        <v>2039</v>
      </c>
      <c r="G13" s="274">
        <f>THCS!S6</f>
        <v>854</v>
      </c>
      <c r="H13" s="274">
        <f>THPT!T7</f>
        <v>350</v>
      </c>
      <c r="I13" s="324">
        <f t="shared" si="0"/>
        <v>4273</v>
      </c>
      <c r="M13" s="93"/>
      <c r="N13" s="93"/>
      <c r="O13" s="93"/>
      <c r="P13" s="93"/>
      <c r="Q13" s="93"/>
      <c r="R13" s="93"/>
      <c r="S13" s="93"/>
    </row>
    <row r="14" spans="2:19" ht="18.75">
      <c r="B14" s="276" t="s">
        <v>19</v>
      </c>
      <c r="C14" s="277">
        <f>MG!Q10</f>
        <v>210</v>
      </c>
      <c r="D14" s="277">
        <f>MG!AE10</f>
        <v>306</v>
      </c>
      <c r="E14" s="278"/>
      <c r="F14" s="277">
        <f>TH!AB15+TH!AB16</f>
        <v>24</v>
      </c>
      <c r="G14" s="356">
        <f>THCS!S15+THCS!S16</f>
        <v>13</v>
      </c>
      <c r="H14" s="279">
        <f>THPT!T29</f>
        <v>11</v>
      </c>
      <c r="I14" s="275">
        <f t="shared" si="0"/>
        <v>564</v>
      </c>
      <c r="M14" s="93"/>
      <c r="N14" s="93"/>
      <c r="O14" s="93"/>
      <c r="P14" s="93"/>
      <c r="Q14" s="93"/>
      <c r="R14" s="93"/>
      <c r="S14" s="93"/>
    </row>
    <row r="15" spans="2:19" ht="18.75">
      <c r="B15" s="270" t="s">
        <v>287</v>
      </c>
      <c r="C15" s="271"/>
      <c r="D15" s="271"/>
      <c r="E15" s="271">
        <v>20</v>
      </c>
      <c r="F15" s="271">
        <v>75</v>
      </c>
      <c r="G15" s="274">
        <v>31</v>
      </c>
      <c r="H15" s="274">
        <v>7</v>
      </c>
      <c r="I15" s="275">
        <f t="shared" si="0"/>
        <v>133</v>
      </c>
      <c r="M15" s="93"/>
      <c r="N15" s="93"/>
      <c r="O15" s="93"/>
      <c r="P15" s="93"/>
      <c r="Q15" s="93"/>
      <c r="R15" s="93"/>
      <c r="S15" s="93"/>
    </row>
    <row r="16" spans="2:9" ht="18.75">
      <c r="B16" s="270" t="s">
        <v>288</v>
      </c>
      <c r="C16" s="280"/>
      <c r="D16" s="281"/>
      <c r="E16" s="281"/>
      <c r="F16" s="282" t="str">
        <f>"3/"&amp;TH!J29&amp;"/"&amp;TH!I29</f>
        <v>3/28/660</v>
      </c>
      <c r="G16" s="283" t="str">
        <f>"8/"&amp;THCS!F28&amp;"/"&amp;THCS!E28</f>
        <v>8/61/1728</v>
      </c>
      <c r="H16" s="283"/>
      <c r="I16" s="283" t="s">
        <v>349</v>
      </c>
    </row>
    <row r="17" spans="2:9" ht="18.75">
      <c r="B17" s="270" t="s">
        <v>289</v>
      </c>
      <c r="C17" s="280"/>
      <c r="D17" s="281"/>
      <c r="E17" s="281"/>
      <c r="F17" s="284"/>
      <c r="G17" s="283" t="str">
        <f>"4/"&amp;THCS!F20&amp;"/"&amp;THCS!E20</f>
        <v>4/8/258</v>
      </c>
      <c r="H17" s="283" t="str">
        <f>"2/"&amp;THPT!E26+THPT!E12&amp;"/"&amp;THPT!D12+THPT!D26</f>
        <v>2/15/493</v>
      </c>
      <c r="I17" s="283" t="s">
        <v>350</v>
      </c>
    </row>
    <row r="18" spans="10:16" ht="18.75">
      <c r="J18" s="93"/>
      <c r="K18" s="93"/>
      <c r="L18" s="328" t="s">
        <v>319</v>
      </c>
      <c r="M18" s="192" t="s">
        <v>236</v>
      </c>
      <c r="N18" s="329" t="s">
        <v>296</v>
      </c>
      <c r="O18" s="93" t="s">
        <v>113</v>
      </c>
      <c r="P18" s="328" t="s">
        <v>296</v>
      </c>
    </row>
    <row r="19" spans="3:16" ht="18.75">
      <c r="C19" t="s">
        <v>80</v>
      </c>
      <c r="D19" t="s">
        <v>81</v>
      </c>
      <c r="J19" s="93" t="s">
        <v>292</v>
      </c>
      <c r="K19" s="93" t="s">
        <v>195</v>
      </c>
      <c r="L19" s="326">
        <f>F9</f>
        <v>62756</v>
      </c>
      <c r="M19" s="93">
        <f>TH!Y7</f>
        <v>18069</v>
      </c>
      <c r="N19" s="327">
        <f>M19/L19*100</f>
        <v>28.792466059022242</v>
      </c>
      <c r="O19" s="93">
        <f>TH!W7</f>
        <v>30759</v>
      </c>
      <c r="P19" s="93">
        <f>O19/Sheet1!C37*100</f>
        <v>49.01364013002741</v>
      </c>
    </row>
    <row r="20" spans="2:16" ht="18.75">
      <c r="B20" s="289" t="s">
        <v>363</v>
      </c>
      <c r="C20" s="144"/>
      <c r="D20" s="144"/>
      <c r="J20" s="93"/>
      <c r="K20" s="93" t="s">
        <v>80</v>
      </c>
      <c r="L20" s="326">
        <f>G9</f>
        <v>37974</v>
      </c>
      <c r="M20" s="93">
        <f>THCS!P6</f>
        <v>10094</v>
      </c>
      <c r="N20" s="327">
        <f>M20/L20*100</f>
        <v>26.581345130879026</v>
      </c>
      <c r="O20" s="93">
        <f>THCS!O6</f>
        <v>19012</v>
      </c>
      <c r="P20" s="93">
        <f>O20/Sheet1!C38*100</f>
        <v>50.06583451835467</v>
      </c>
    </row>
    <row r="21" spans="2:16" ht="18.75">
      <c r="B21" s="289" t="s">
        <v>20</v>
      </c>
      <c r="C21" s="144">
        <f>THCS!F11+THCS!F13+THCS!F18+THCS!F21</f>
        <v>34</v>
      </c>
      <c r="D21">
        <f>THPT!E26+THPT!E12</f>
        <v>15</v>
      </c>
      <c r="J21" s="93"/>
      <c r="K21" s="93" t="s">
        <v>81</v>
      </c>
      <c r="L21" s="326">
        <f>H9</f>
        <v>17645</v>
      </c>
      <c r="M21" s="93">
        <f>THPT!Q7</f>
        <v>3813</v>
      </c>
      <c r="N21" s="327">
        <f>M21/L21*100</f>
        <v>21.60952111079626</v>
      </c>
      <c r="O21" s="93">
        <f>THPT!P7</f>
        <v>10158</v>
      </c>
      <c r="P21" s="93">
        <f>O21/Sheet1!C39*100</f>
        <v>57.568716350240855</v>
      </c>
    </row>
    <row r="22" spans="2:16" ht="18.75">
      <c r="B22" s="289" t="s">
        <v>85</v>
      </c>
      <c r="C22" s="144">
        <f>THCS!E11+THCS!E13+THCS!E18+THCS!E21</f>
        <v>1095</v>
      </c>
      <c r="D22">
        <f>THPT!D12+THPT!D26</f>
        <v>493</v>
      </c>
      <c r="J22" s="93"/>
      <c r="K22" s="93"/>
      <c r="L22" s="326">
        <f>SUM(L19:L21)</f>
        <v>118375</v>
      </c>
      <c r="M22" s="93">
        <f>SUM(M19:M21)</f>
        <v>31976</v>
      </c>
      <c r="N22" s="327">
        <f>M22/L22*100</f>
        <v>27.01246040126716</v>
      </c>
      <c r="O22" s="93">
        <f>SUM(O19:O21)</f>
        <v>59929</v>
      </c>
      <c r="P22" s="93">
        <f>O22/Sheet1!C36*100</f>
        <v>50.626399155227034</v>
      </c>
    </row>
    <row r="25" spans="10:14" ht="18.75">
      <c r="J25" s="93"/>
      <c r="K25" s="192" t="s">
        <v>209</v>
      </c>
      <c r="L25" s="192" t="s">
        <v>87</v>
      </c>
      <c r="M25" s="192" t="s">
        <v>193</v>
      </c>
      <c r="N25" s="328" t="s">
        <v>114</v>
      </c>
    </row>
    <row r="26" spans="10:14" ht="18.75">
      <c r="J26" s="93" t="s">
        <v>194</v>
      </c>
      <c r="K26" s="93">
        <v>182</v>
      </c>
      <c r="L26" s="93">
        <f>MG!H10+MG!U10</f>
        <v>1792</v>
      </c>
      <c r="M26" s="93">
        <v>517</v>
      </c>
      <c r="N26" s="93">
        <f aca="true" t="shared" si="1" ref="N26:N31">SUM(K26:M26)</f>
        <v>2491</v>
      </c>
    </row>
    <row r="27" spans="10:14" ht="18.75">
      <c r="J27" s="93" t="s">
        <v>195</v>
      </c>
      <c r="K27" s="93">
        <f>TH!AH7</f>
        <v>255</v>
      </c>
      <c r="L27" s="93">
        <f>TH!AF7</f>
        <v>3224</v>
      </c>
      <c r="M27" s="93">
        <f>TH!AJ7-TH!AH7-TH!AF7</f>
        <v>303</v>
      </c>
      <c r="N27" s="93">
        <f t="shared" si="1"/>
        <v>3782</v>
      </c>
    </row>
    <row r="28" spans="10:14" ht="18.75">
      <c r="J28" s="93" t="s">
        <v>80</v>
      </c>
      <c r="K28" s="93">
        <f>THCS!Y6</f>
        <v>125</v>
      </c>
      <c r="L28" s="93">
        <f>THCS!W6</f>
        <v>1983</v>
      </c>
      <c r="M28" s="93">
        <f>THCS!AA6-THCS!W6-THCS!Y6</f>
        <v>248</v>
      </c>
      <c r="N28" s="93">
        <f t="shared" si="1"/>
        <v>2356</v>
      </c>
    </row>
    <row r="29" spans="10:14" ht="18.75">
      <c r="J29" s="93" t="s">
        <v>81</v>
      </c>
      <c r="K29" s="93">
        <f>THPT!Z7</f>
        <v>56</v>
      </c>
      <c r="L29" s="93">
        <f>THPT!X7</f>
        <v>994</v>
      </c>
      <c r="M29" s="93">
        <f>THPT!AB7-THPT!X7-THPT!Z7</f>
        <v>158</v>
      </c>
      <c r="N29" s="93">
        <f t="shared" si="1"/>
        <v>1208</v>
      </c>
    </row>
    <row r="30" spans="10:14" ht="18.75">
      <c r="J30" s="93" t="s">
        <v>294</v>
      </c>
      <c r="K30" s="93">
        <v>3</v>
      </c>
      <c r="L30" s="93">
        <v>34</v>
      </c>
      <c r="M30" s="93">
        <v>14</v>
      </c>
      <c r="N30" s="93">
        <f t="shared" si="1"/>
        <v>51</v>
      </c>
    </row>
    <row r="31" spans="10:14" ht="18.75">
      <c r="J31" s="93" t="s">
        <v>293</v>
      </c>
      <c r="K31" s="93">
        <v>1</v>
      </c>
      <c r="L31" s="93">
        <v>9</v>
      </c>
      <c r="M31" s="93">
        <v>5</v>
      </c>
      <c r="N31" s="93">
        <f t="shared" si="1"/>
        <v>15</v>
      </c>
    </row>
    <row r="32" spans="10:14" ht="18.75">
      <c r="J32" s="93"/>
      <c r="K32" s="93"/>
      <c r="L32" s="93"/>
      <c r="M32" s="93"/>
      <c r="N32" s="93"/>
    </row>
    <row r="33" spans="10:14" ht="18.75">
      <c r="J33" s="93">
        <f>SUM(K33:M33)</f>
        <v>9903</v>
      </c>
      <c r="K33" s="93">
        <f>SUM(K26:K32)</f>
        <v>622</v>
      </c>
      <c r="L33" s="93">
        <f>SUM(L26:L32)</f>
        <v>8036</v>
      </c>
      <c r="M33" s="93">
        <f>SUM(M26:M32)</f>
        <v>1245</v>
      </c>
      <c r="N33" s="93">
        <f>SUM(N26:N31)</f>
        <v>9903</v>
      </c>
    </row>
    <row r="34" spans="10:11" ht="18.75">
      <c r="J34">
        <f>L26+L27+L28+L29</f>
        <v>7993</v>
      </c>
      <c r="K34" t="s">
        <v>295</v>
      </c>
    </row>
  </sheetData>
  <sheetProtection/>
  <mergeCells count="10">
    <mergeCell ref="B3:B4"/>
    <mergeCell ref="C3:C4"/>
    <mergeCell ref="D3:D4"/>
    <mergeCell ref="E3:E4"/>
    <mergeCell ref="Q1:S1"/>
    <mergeCell ref="G3:G4"/>
    <mergeCell ref="H3:H4"/>
    <mergeCell ref="F3:F4"/>
    <mergeCell ref="O1:P1"/>
    <mergeCell ref="M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NHANHUY</dc:creator>
  <cp:keywords/>
  <dc:description/>
  <cp:lastModifiedBy>User</cp:lastModifiedBy>
  <cp:lastPrinted>2021-10-28T00:48:19Z</cp:lastPrinted>
  <dcterms:created xsi:type="dcterms:W3CDTF">2009-10-14T09:31:03Z</dcterms:created>
  <dcterms:modified xsi:type="dcterms:W3CDTF">2021-11-14T09:39:10Z</dcterms:modified>
  <cp:category/>
  <cp:version/>
  <cp:contentType/>
  <cp:contentStatus/>
</cp:coreProperties>
</file>